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defaultThemeVersion="124226"/>
  <mc:AlternateContent xmlns:mc="http://schemas.openxmlformats.org/markup-compatibility/2006">
    <mc:Choice Requires="x15">
      <x15ac:absPath xmlns:x15ac="http://schemas.microsoft.com/office/spreadsheetml/2010/11/ac" url="C:\Dropbox\My PC (DESKTOP-9QTA7TE)\Downloads\Arhigram_4_v09 (1)\"/>
    </mc:Choice>
  </mc:AlternateContent>
  <xr:revisionPtr revIDLastSave="0" documentId="13_ncr:1_{74B6040B-B920-4AE2-9A18-929CB0B21377}" xr6:coauthVersionLast="47" xr6:coauthVersionMax="47" xr10:uidLastSave="{00000000-0000-0000-0000-000000000000}"/>
  <workbookProtection workbookAlgorithmName="SHA-512" workbookHashValue="g1cjBVdsiR4ka1f4781NPs88Avy+wTO6LAWEZa/VWSOaaqVpdzIzP49/ovWOwEQlpkwrRd1jsrDkTgH/cOrtHg==" workbookSaltValue="jbb1loeO13Hy1YHiKsKifw==" workbookSpinCount="100000" lockStructure="1"/>
  <bookViews>
    <workbookView xWindow="4890" yWindow="180" windowWidth="32310" windowHeight="21600" activeTab="2" xr2:uid="{00000000-000D-0000-FFFF-FFFF00000000}"/>
  </bookViews>
  <sheets>
    <sheet name="O ARHIGRAMU" sheetId="14" r:id="rId1"/>
    <sheet name="KRATKA NAVODILA" sheetId="9" r:id="rId2"/>
    <sheet name="EUR" sheetId="4" r:id="rId3"/>
    <sheet name="NU" sheetId="8" r:id="rId4"/>
    <sheet name="PODATKI" sheetId="5" r:id="rId5"/>
    <sheet name="IZRAČUN VREDNOST NU" sheetId="7" r:id="rId6"/>
  </sheets>
  <externalReferences>
    <externalReference r:id="rId7"/>
  </externalReferences>
  <definedNames>
    <definedName name="ARHINST" localSheetId="3">[1]PODATKI!$A$17:$A$20</definedName>
    <definedName name="ARHINST">PODATKI!$A$18:$A$21</definedName>
    <definedName name="DANE">PODATKI!$D$18:$D$19</definedName>
    <definedName name="FAZE" localSheetId="3">[1]PODATKI!$I$3:$I$5</definedName>
    <definedName name="FAZE">PODATKI!$I$3:$I$6</definedName>
    <definedName name="KONS" localSheetId="3">[1]PODATKI!$A$23:$A$28</definedName>
    <definedName name="KONS">PODATKI!$A$24:$A$29</definedName>
    <definedName name="OBJEKT" localSheetId="3">[1]PODATKI!$A$3:$A$13</definedName>
    <definedName name="OBJEKT">PODATKI!$A$3:$A$14</definedName>
    <definedName name="OPREMA" localSheetId="3">[1]PODATKI!$A$83:$A$85</definedName>
    <definedName name="OPREMA">PODATKI!$A$84:$A$86</definedName>
    <definedName name="PID" localSheetId="3">[1]PODATKI!$I$8:$I$9</definedName>
    <definedName name="PID">PODATKI!$I$9:$I$10</definedName>
    <definedName name="_xlnm.Print_Area" localSheetId="2">EUR!$A$2:$M$82</definedName>
    <definedName name="_xlnm.Print_Area" localSheetId="3">NU!$A$1:$M$82</definedName>
    <definedName name="TEH" localSheetId="3">[1]PODATKI!#REF!</definedName>
    <definedName name="TEH">PODATKI!#REF!</definedName>
    <definedName name="ZUNANJA" localSheetId="3">[1]PODATKI!$A$50:$A$80</definedName>
    <definedName name="ZUNANJA">PODATKI!$A$51:$A$81</definedName>
  </definedNames>
  <calcPr calcId="181029"/>
</workbook>
</file>

<file path=xl/calcChain.xml><?xml version="1.0" encoding="utf-8"?>
<calcChain xmlns="http://schemas.openxmlformats.org/spreadsheetml/2006/main">
  <c r="J53" i="4" l="1"/>
  <c r="J30" i="4"/>
  <c r="O19" i="4" l="1"/>
  <c r="A314" i="5" s="1"/>
  <c r="A294" i="5"/>
  <c r="P13" i="8"/>
  <c r="P14" i="8"/>
  <c r="P15" i="8"/>
  <c r="P16" i="8"/>
  <c r="P17" i="8"/>
  <c r="P18" i="8"/>
  <c r="P19" i="8"/>
  <c r="P20" i="8"/>
  <c r="P21" i="8"/>
  <c r="P12" i="8"/>
  <c r="E301" i="5"/>
  <c r="D301" i="5"/>
  <c r="E300" i="5"/>
  <c r="D300" i="5"/>
  <c r="E299" i="5"/>
  <c r="D299" i="5"/>
  <c r="E298" i="5"/>
  <c r="D298" i="5"/>
  <c r="C310" i="5"/>
  <c r="B310" i="5"/>
  <c r="C309" i="5"/>
  <c r="B309" i="5"/>
  <c r="C308" i="5"/>
  <c r="B308" i="5"/>
  <c r="C307" i="5"/>
  <c r="B307" i="5"/>
  <c r="C306" i="5"/>
  <c r="B306" i="5"/>
  <c r="C305" i="5"/>
  <c r="B305" i="5"/>
  <c r="C301" i="5"/>
  <c r="B301" i="5"/>
  <c r="C300" i="5"/>
  <c r="B300" i="5"/>
  <c r="C299" i="5"/>
  <c r="B299" i="5"/>
  <c r="C298" i="5"/>
  <c r="B298" i="5"/>
  <c r="A293" i="5"/>
  <c r="A292" i="5"/>
  <c r="A287" i="5"/>
  <c r="A288" i="5"/>
  <c r="A289" i="5"/>
  <c r="A290" i="5"/>
  <c r="A291" i="5"/>
  <c r="B286" i="5"/>
  <c r="A286" i="5"/>
  <c r="C40" i="7" l="1"/>
  <c r="C3" i="8"/>
  <c r="D3" i="8"/>
  <c r="I43" i="8"/>
  <c r="L43" i="8" s="1"/>
  <c r="I44" i="8"/>
  <c r="L44" i="8"/>
  <c r="I45" i="8"/>
  <c r="L45" i="8"/>
  <c r="I46" i="8"/>
  <c r="L46" i="8" s="1"/>
  <c r="I47" i="8"/>
  <c r="L47" i="8"/>
  <c r="I48" i="8"/>
  <c r="L48" i="8"/>
  <c r="I49" i="8"/>
  <c r="L49" i="8"/>
  <c r="I50" i="8"/>
  <c r="L50" i="8" s="1"/>
  <c r="O12" i="5"/>
  <c r="G12" i="8"/>
  <c r="O12" i="8"/>
  <c r="O13" i="8"/>
  <c r="O14" i="8"/>
  <c r="O15" i="8"/>
  <c r="O16" i="8"/>
  <c r="O17" i="8"/>
  <c r="O18" i="8"/>
  <c r="O19" i="8"/>
  <c r="O21" i="8"/>
  <c r="O22" i="8"/>
  <c r="O23" i="8"/>
  <c r="F72" i="8"/>
  <c r="F73" i="8"/>
  <c r="F74" i="8"/>
  <c r="F75" i="8"/>
  <c r="A71" i="8"/>
  <c r="A72" i="8"/>
  <c r="A73" i="8"/>
  <c r="A74" i="8"/>
  <c r="A75" i="8"/>
  <c r="A80" i="8"/>
  <c r="A82" i="8"/>
  <c r="A67" i="8"/>
  <c r="A66" i="8"/>
  <c r="A65" i="8"/>
  <c r="A63" i="8"/>
  <c r="A58" i="8"/>
  <c r="A56" i="8"/>
  <c r="A55" i="8"/>
  <c r="A54" i="8"/>
  <c r="A53" i="8"/>
  <c r="A52" i="8"/>
  <c r="A44" i="8"/>
  <c r="A45" i="8"/>
  <c r="A46" i="8"/>
  <c r="A47" i="8"/>
  <c r="A48" i="8"/>
  <c r="A49" i="8"/>
  <c r="A43" i="8"/>
  <c r="A42" i="8"/>
  <c r="A40" i="8"/>
  <c r="A33" i="8"/>
  <c r="A34" i="8"/>
  <c r="A35" i="8"/>
  <c r="A36" i="8"/>
  <c r="A32" i="8"/>
  <c r="L71" i="4"/>
  <c r="K62" i="4"/>
  <c r="J62" i="4"/>
  <c r="H62" i="4"/>
  <c r="F62" i="4"/>
  <c r="D62" i="4"/>
  <c r="O13" i="5"/>
  <c r="O20" i="4"/>
  <c r="O20" i="8" s="1"/>
  <c r="D5" i="8"/>
  <c r="D6" i="8"/>
  <c r="D7" i="8"/>
  <c r="D8" i="8"/>
  <c r="G5" i="8"/>
  <c r="J5" i="8"/>
  <c r="G6" i="8"/>
  <c r="J6" i="8"/>
  <c r="G7" i="8"/>
  <c r="J7" i="8"/>
  <c r="G8" i="8"/>
  <c r="J8" i="8"/>
  <c r="J4" i="8"/>
  <c r="J62" i="8"/>
  <c r="K62" i="8"/>
  <c r="H62" i="8"/>
  <c r="F62" i="8"/>
  <c r="D62" i="8"/>
  <c r="A59" i="8"/>
  <c r="A60" i="8"/>
  <c r="A61" i="8"/>
  <c r="A50" i="8"/>
  <c r="H29" i="8"/>
  <c r="F29" i="8"/>
  <c r="D29" i="8"/>
  <c r="A29" i="8"/>
  <c r="A30" i="4"/>
  <c r="A30" i="8" s="1"/>
  <c r="G43" i="5"/>
  <c r="A38" i="8"/>
  <c r="A31" i="8"/>
  <c r="G4" i="8"/>
  <c r="A23" i="8"/>
  <c r="A15" i="8"/>
  <c r="A14" i="8"/>
  <c r="A13" i="8"/>
  <c r="A12" i="8"/>
  <c r="A11" i="8"/>
  <c r="H31" i="8"/>
  <c r="F31" i="8"/>
  <c r="D31" i="8"/>
  <c r="D2" i="8"/>
  <c r="C2" i="8"/>
  <c r="I58" i="4"/>
  <c r="L58" i="4" s="1"/>
  <c r="I59" i="4"/>
  <c r="L59" i="4" s="1"/>
  <c r="A39" i="4"/>
  <c r="A39" i="8" s="1"/>
  <c r="D12" i="8"/>
  <c r="D4" i="8"/>
  <c r="C15" i="7"/>
  <c r="C13" i="7"/>
  <c r="C50" i="7"/>
  <c r="G13" i="5"/>
  <c r="I60" i="4"/>
  <c r="I61" i="4"/>
  <c r="L61" i="4" s="1"/>
  <c r="L60" i="4"/>
  <c r="J16" i="8"/>
  <c r="I156" i="5" s="1"/>
  <c r="G16" i="8"/>
  <c r="D16" i="8"/>
  <c r="D17" i="8"/>
  <c r="D18" i="8"/>
  <c r="D19" i="8"/>
  <c r="D20" i="8"/>
  <c r="D21" i="8"/>
  <c r="J14" i="8"/>
  <c r="J12" i="8"/>
  <c r="J11" i="8"/>
  <c r="L71" i="8" s="1"/>
  <c r="G14" i="8"/>
  <c r="G11" i="8"/>
  <c r="D11" i="8"/>
  <c r="D14" i="8"/>
  <c r="I61" i="8"/>
  <c r="L61" i="8"/>
  <c r="I60" i="8"/>
  <c r="L60" i="8" s="1"/>
  <c r="K51" i="8"/>
  <c r="J51" i="8"/>
  <c r="H51" i="8"/>
  <c r="F51" i="8"/>
  <c r="D51" i="8"/>
  <c r="I228" i="5"/>
  <c r="I59" i="8"/>
  <c r="L59" i="8" s="1"/>
  <c r="L62" i="8" s="1"/>
  <c r="I51" i="8"/>
  <c r="L58" i="8"/>
  <c r="C59" i="7"/>
  <c r="C60" i="7" s="1"/>
  <c r="C41" i="7"/>
  <c r="C25" i="7"/>
  <c r="C24" i="7"/>
  <c r="C14" i="7"/>
  <c r="C6" i="7"/>
  <c r="C10" i="7" s="1"/>
  <c r="I44" i="4"/>
  <c r="L44" i="4"/>
  <c r="D23" i="4"/>
  <c r="D23" i="8" s="1"/>
  <c r="C24" i="4"/>
  <c r="C24" i="8" s="1"/>
  <c r="C25" i="4"/>
  <c r="C26" i="4"/>
  <c r="C26" i="8" s="1"/>
  <c r="C27" i="4"/>
  <c r="C27" i="8" s="1"/>
  <c r="G23" i="4"/>
  <c r="Q20" i="4" s="1"/>
  <c r="Q20" i="8" s="1"/>
  <c r="J23" i="4"/>
  <c r="J23" i="8" s="1"/>
  <c r="Q21" i="4"/>
  <c r="Q21" i="8" s="1"/>
  <c r="R21" i="8" s="1"/>
  <c r="G42" i="5"/>
  <c r="G41" i="5"/>
  <c r="J13" i="4"/>
  <c r="J13" i="8" s="1"/>
  <c r="G13" i="4"/>
  <c r="G13" i="8" s="1"/>
  <c r="G40" i="5"/>
  <c r="J51" i="4"/>
  <c r="K51" i="4"/>
  <c r="F51" i="4"/>
  <c r="H51" i="4"/>
  <c r="D51" i="4"/>
  <c r="I45" i="4"/>
  <c r="I46" i="4"/>
  <c r="L46" i="4" s="1"/>
  <c r="I47" i="4"/>
  <c r="L47" i="4" s="1"/>
  <c r="I48" i="4"/>
  <c r="I49" i="4"/>
  <c r="L49" i="4" s="1"/>
  <c r="I50" i="4"/>
  <c r="L50" i="4" s="1"/>
  <c r="G33" i="5"/>
  <c r="G34" i="5"/>
  <c r="G35" i="5"/>
  <c r="G36" i="5"/>
  <c r="G37" i="5"/>
  <c r="G38" i="5"/>
  <c r="G39" i="5"/>
  <c r="D13" i="4"/>
  <c r="D13" i="8" s="1"/>
  <c r="G4" i="5"/>
  <c r="G5" i="5"/>
  <c r="G6" i="5"/>
  <c r="G7" i="5"/>
  <c r="G8" i="5"/>
  <c r="G9" i="5"/>
  <c r="G10" i="5"/>
  <c r="G11" i="5"/>
  <c r="G12" i="5"/>
  <c r="G14" i="5"/>
  <c r="G3" i="5"/>
  <c r="L45" i="4"/>
  <c r="I43" i="4"/>
  <c r="L43" i="4" s="1"/>
  <c r="L48" i="4"/>
  <c r="I51" i="4" l="1"/>
  <c r="L51" i="8"/>
  <c r="G23" i="8"/>
  <c r="R20" i="8"/>
  <c r="I231" i="5"/>
  <c r="I229" i="5" s="1"/>
  <c r="I233" i="5" s="1"/>
  <c r="I230" i="5" s="1"/>
  <c r="I159" i="5"/>
  <c r="I157" i="5" s="1"/>
  <c r="I161" i="5" s="1"/>
  <c r="I158" i="5" s="1"/>
  <c r="R21" i="4"/>
  <c r="S21" i="4" s="1"/>
  <c r="C11" i="7"/>
  <c r="M23" i="4"/>
  <c r="D25" i="4"/>
  <c r="D25" i="8" s="1"/>
  <c r="D27" i="4"/>
  <c r="D27" i="8" s="1"/>
  <c r="L51" i="4"/>
  <c r="F53" i="8"/>
  <c r="R20" i="4"/>
  <c r="S20" i="4" s="1"/>
  <c r="Q16" i="4"/>
  <c r="I62" i="8"/>
  <c r="I62" i="4"/>
  <c r="L62" i="4" s="1"/>
  <c r="Q17" i="4"/>
  <c r="C12" i="7"/>
  <c r="C33" i="7" s="1"/>
  <c r="C25" i="8"/>
  <c r="Q12" i="4"/>
  <c r="R12" i="4" s="1"/>
  <c r="Q19" i="4"/>
  <c r="Q18" i="4"/>
  <c r="D26" i="4"/>
  <c r="D24" i="4"/>
  <c r="M23" i="8"/>
  <c r="D26" i="8"/>
  <c r="S12" i="4" l="1"/>
  <c r="H32" i="4" s="1"/>
  <c r="B287" i="5"/>
  <c r="Q12" i="8"/>
  <c r="R12" i="8" s="1"/>
  <c r="R17" i="4"/>
  <c r="S17" i="4" s="1"/>
  <c r="D40" i="4" s="1"/>
  <c r="B292" i="5"/>
  <c r="Q17" i="8"/>
  <c r="R17" i="8" s="1"/>
  <c r="F40" i="8" s="1"/>
  <c r="R18" i="4"/>
  <c r="S18" i="4" s="1"/>
  <c r="J36" i="4" s="1"/>
  <c r="Q18" i="8"/>
  <c r="R18" i="8" s="1"/>
  <c r="H36" i="8" s="1"/>
  <c r="B293" i="5"/>
  <c r="R19" i="4"/>
  <c r="S19" i="4" s="1"/>
  <c r="Q19" i="8"/>
  <c r="R19" i="8" s="1"/>
  <c r="F30" i="8" s="1"/>
  <c r="B294" i="5"/>
  <c r="R16" i="4"/>
  <c r="S16" i="4" s="1"/>
  <c r="H39" i="4" s="1"/>
  <c r="Q16" i="8"/>
  <c r="R16" i="8" s="1"/>
  <c r="H39" i="8" s="1"/>
  <c r="B291" i="5"/>
  <c r="I160" i="5"/>
  <c r="I162" i="5"/>
  <c r="Q15" i="4"/>
  <c r="Q14" i="4"/>
  <c r="I232" i="5"/>
  <c r="I234" i="5"/>
  <c r="H55" i="4"/>
  <c r="D55" i="4"/>
  <c r="F55" i="4"/>
  <c r="D53" i="8"/>
  <c r="C35" i="7"/>
  <c r="C36" i="7" s="1"/>
  <c r="H53" i="4"/>
  <c r="F53" i="4"/>
  <c r="D53" i="4"/>
  <c r="H53" i="8"/>
  <c r="D24" i="8"/>
  <c r="Q13" i="4"/>
  <c r="J32" i="8"/>
  <c r="D32" i="8"/>
  <c r="F32" i="8"/>
  <c r="H32" i="8"/>
  <c r="F39" i="4"/>
  <c r="D39" i="4"/>
  <c r="J39" i="4"/>
  <c r="J30" i="8"/>
  <c r="D30" i="8"/>
  <c r="F32" i="4"/>
  <c r="H40" i="4" l="1"/>
  <c r="D30" i="4"/>
  <c r="J40" i="4"/>
  <c r="J41" i="4" s="1"/>
  <c r="F30" i="4"/>
  <c r="F40" i="4"/>
  <c r="F41" i="4" s="1"/>
  <c r="H30" i="8"/>
  <c r="H30" i="4"/>
  <c r="J32" i="4"/>
  <c r="D32" i="4"/>
  <c r="I32" i="4" s="1"/>
  <c r="J40" i="8"/>
  <c r="J39" i="8"/>
  <c r="F36" i="8"/>
  <c r="D36" i="8"/>
  <c r="I36" i="8" s="1"/>
  <c r="K36" i="8" s="1"/>
  <c r="J36" i="8"/>
  <c r="D40" i="8"/>
  <c r="F36" i="4"/>
  <c r="D308" i="5"/>
  <c r="D307" i="5"/>
  <c r="D306" i="5"/>
  <c r="D305" i="5"/>
  <c r="D310" i="5"/>
  <c r="D309" i="5"/>
  <c r="C313" i="5"/>
  <c r="B313" i="5"/>
  <c r="D36" i="4"/>
  <c r="C314" i="5"/>
  <c r="B314" i="5"/>
  <c r="D39" i="8"/>
  <c r="H36" i="4"/>
  <c r="F39" i="8"/>
  <c r="F41" i="8" s="1"/>
  <c r="H40" i="8"/>
  <c r="H41" i="8" s="1"/>
  <c r="G299" i="5"/>
  <c r="G298" i="5"/>
  <c r="F301" i="5"/>
  <c r="F300" i="5"/>
  <c r="F299" i="5"/>
  <c r="F298" i="5"/>
  <c r="G301" i="5"/>
  <c r="G300" i="5"/>
  <c r="R15" i="4"/>
  <c r="S15" i="4" s="1"/>
  <c r="H35" i="4" s="1"/>
  <c r="Q15" i="8"/>
  <c r="R15" i="8" s="1"/>
  <c r="B290" i="5"/>
  <c r="R13" i="4"/>
  <c r="S13" i="4" s="1"/>
  <c r="D33" i="4" s="1"/>
  <c r="Q13" i="8"/>
  <c r="R13" i="8" s="1"/>
  <c r="B288" i="5"/>
  <c r="R14" i="4"/>
  <c r="S14" i="4" s="1"/>
  <c r="Q14" i="8"/>
  <c r="R14" i="8" s="1"/>
  <c r="F34" i="8" s="1"/>
  <c r="B289" i="5"/>
  <c r="H41" i="4"/>
  <c r="I53" i="8"/>
  <c r="J53" i="8" s="1"/>
  <c r="F55" i="8"/>
  <c r="D55" i="8"/>
  <c r="H55" i="8"/>
  <c r="I30" i="4"/>
  <c r="L30" i="4" s="1"/>
  <c r="I55" i="4"/>
  <c r="K55" i="4" s="1"/>
  <c r="L55" i="4" s="1"/>
  <c r="I53" i="4"/>
  <c r="K53" i="4" s="1"/>
  <c r="L53" i="4" s="1"/>
  <c r="C37" i="7"/>
  <c r="C43" i="7" s="1"/>
  <c r="D41" i="4"/>
  <c r="I39" i="4"/>
  <c r="I30" i="8"/>
  <c r="J41" i="8"/>
  <c r="I40" i="8"/>
  <c r="L40" i="8" s="1"/>
  <c r="I32" i="8"/>
  <c r="I40" i="4" l="1"/>
  <c r="L40" i="4" s="1"/>
  <c r="L36" i="8"/>
  <c r="D41" i="8"/>
  <c r="J35" i="4"/>
  <c r="I36" i="4"/>
  <c r="K36" i="4" s="1"/>
  <c r="L36" i="4" s="1"/>
  <c r="H34" i="8"/>
  <c r="J33" i="4"/>
  <c r="I39" i="8"/>
  <c r="L39" i="8" s="1"/>
  <c r="D33" i="8"/>
  <c r="H33" i="8"/>
  <c r="F33" i="8"/>
  <c r="J33" i="8"/>
  <c r="R22" i="8"/>
  <c r="R23" i="8" s="1"/>
  <c r="F33" i="4"/>
  <c r="S22" i="4"/>
  <c r="D66" i="4" s="1"/>
  <c r="H33" i="4"/>
  <c r="H34" i="4"/>
  <c r="D34" i="4"/>
  <c r="F34" i="4"/>
  <c r="J34" i="4"/>
  <c r="H35" i="8"/>
  <c r="D35" i="8"/>
  <c r="F35" i="8"/>
  <c r="J35" i="8"/>
  <c r="D34" i="8"/>
  <c r="J34" i="8"/>
  <c r="F35" i="4"/>
  <c r="D35" i="4"/>
  <c r="K53" i="8"/>
  <c r="L53" i="8" s="1"/>
  <c r="I55" i="8"/>
  <c r="K32" i="4"/>
  <c r="L32" i="4" s="1"/>
  <c r="L30" i="8"/>
  <c r="I41" i="8"/>
  <c r="L39" i="4"/>
  <c r="I41" i="4"/>
  <c r="K32" i="8"/>
  <c r="L32" i="8" s="1"/>
  <c r="I34" i="8" l="1"/>
  <c r="K34" i="8" s="1"/>
  <c r="J37" i="4"/>
  <c r="J64" i="4" s="1"/>
  <c r="I33" i="8"/>
  <c r="K33" i="8" s="1"/>
  <c r="L33" i="8" s="1"/>
  <c r="H37" i="8"/>
  <c r="H64" i="8" s="1"/>
  <c r="D66" i="8"/>
  <c r="H66" i="8"/>
  <c r="F66" i="8"/>
  <c r="J66" i="8"/>
  <c r="L34" i="8"/>
  <c r="F37" i="4"/>
  <c r="F64" i="4" s="1"/>
  <c r="I35" i="4"/>
  <c r="K35" i="4" s="1"/>
  <c r="L35" i="4" s="1"/>
  <c r="I34" i="4"/>
  <c r="K34" i="4" s="1"/>
  <c r="L34" i="4" s="1"/>
  <c r="I35" i="8"/>
  <c r="K35" i="8" s="1"/>
  <c r="L35" i="8" s="1"/>
  <c r="D37" i="4"/>
  <c r="D64" i="4" s="1"/>
  <c r="D67" i="4" s="1"/>
  <c r="J66" i="4"/>
  <c r="J37" i="8"/>
  <c r="F37" i="8"/>
  <c r="F64" i="8" s="1"/>
  <c r="H66" i="4"/>
  <c r="S23" i="4"/>
  <c r="G74" i="4" s="1"/>
  <c r="G74" i="8" s="1"/>
  <c r="H37" i="4"/>
  <c r="H64" i="4" s="1"/>
  <c r="I33" i="4"/>
  <c r="F66" i="4"/>
  <c r="D37" i="8"/>
  <c r="D64" i="8" s="1"/>
  <c r="D67" i="8" s="1"/>
  <c r="H67" i="8"/>
  <c r="K55" i="8"/>
  <c r="J55" i="8"/>
  <c r="L41" i="4"/>
  <c r="L41" i="8"/>
  <c r="J67" i="4" l="1"/>
  <c r="F67" i="8"/>
  <c r="I66" i="8"/>
  <c r="L66" i="8" s="1"/>
  <c r="F67" i="4"/>
  <c r="G75" i="4"/>
  <c r="G75" i="8" s="1"/>
  <c r="I37" i="8"/>
  <c r="I64" i="8" s="1"/>
  <c r="I67" i="8" s="1"/>
  <c r="L37" i="8"/>
  <c r="H67" i="4"/>
  <c r="I37" i="4"/>
  <c r="I64" i="4" s="1"/>
  <c r="K33" i="4"/>
  <c r="L33" i="4" s="1"/>
  <c r="L37" i="4" s="1"/>
  <c r="L64" i="4" s="1"/>
  <c r="I66" i="4"/>
  <c r="L66" i="4" s="1"/>
  <c r="G72" i="4"/>
  <c r="G72" i="8" s="1"/>
  <c r="G73" i="4"/>
  <c r="G73" i="8" s="1"/>
  <c r="K37" i="8"/>
  <c r="K64" i="8" s="1"/>
  <c r="K67" i="8" s="1"/>
  <c r="L55" i="8"/>
  <c r="L64" i="8" s="1"/>
  <c r="J64" i="8"/>
  <c r="J67" i="8" s="1"/>
  <c r="K37" i="4" l="1"/>
  <c r="K64" i="4" s="1"/>
  <c r="K67" i="4" s="1"/>
  <c r="I67" i="4"/>
  <c r="L67" i="8"/>
  <c r="M45" i="8" s="1"/>
  <c r="L67" i="4" l="1"/>
  <c r="K68" i="4" s="1"/>
  <c r="I69" i="4"/>
  <c r="M47" i="4"/>
  <c r="M45" i="4"/>
  <c r="M49" i="4"/>
  <c r="M35" i="4"/>
  <c r="M30" i="4"/>
  <c r="M32" i="4"/>
  <c r="M58" i="4"/>
  <c r="M34" i="4"/>
  <c r="M33" i="4"/>
  <c r="M59" i="4"/>
  <c r="M53" i="4"/>
  <c r="M40" i="4"/>
  <c r="M48" i="4"/>
  <c r="D68" i="4"/>
  <c r="M44" i="4"/>
  <c r="F68" i="4"/>
  <c r="M55" i="4"/>
  <c r="M49" i="8"/>
  <c r="M34" i="8"/>
  <c r="M39" i="8"/>
  <c r="M43" i="8"/>
  <c r="M58" i="8"/>
  <c r="M61" i="8"/>
  <c r="M30" i="8"/>
  <c r="M59" i="8"/>
  <c r="M36" i="8"/>
  <c r="M48" i="8"/>
  <c r="M32" i="8"/>
  <c r="M44" i="8"/>
  <c r="M53" i="8"/>
  <c r="M47" i="8"/>
  <c r="L69" i="8"/>
  <c r="G77" i="8" s="1"/>
  <c r="M33" i="8"/>
  <c r="M67" i="8"/>
  <c r="M60" i="8"/>
  <c r="M40" i="8"/>
  <c r="M35" i="8"/>
  <c r="M50" i="8"/>
  <c r="M55" i="8"/>
  <c r="M66" i="8"/>
  <c r="M46" i="8"/>
  <c r="L69" i="4" l="1"/>
  <c r="L68" i="4"/>
  <c r="M60" i="4"/>
  <c r="J68" i="4"/>
  <c r="M43" i="4"/>
  <c r="M39" i="4"/>
  <c r="M61" i="4"/>
  <c r="G77" i="4"/>
  <c r="H68" i="4"/>
  <c r="M66" i="4"/>
  <c r="M50" i="4"/>
  <c r="M46" i="4"/>
  <c r="M51" i="4" s="1"/>
  <c r="I68" i="4"/>
  <c r="M36" i="4"/>
  <c r="M41" i="4"/>
  <c r="M37" i="4"/>
  <c r="M62" i="4"/>
  <c r="M51" i="8"/>
  <c r="M37" i="8"/>
  <c r="M41" i="8"/>
  <c r="M62" i="8"/>
  <c r="M64" i="4" l="1"/>
  <c r="M67" i="4" s="1"/>
  <c r="M6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Mima</author>
  </authors>
  <commentList>
    <comment ref="D11" authorId="0" shapeId="0" xr:uid="{00000000-0006-0000-0200-000001000000}">
      <text>
        <r>
          <rPr>
            <sz val="10"/>
            <color indexed="81"/>
            <rFont val="Arial"/>
            <family val="2"/>
            <charset val="238"/>
          </rPr>
          <t>IZBERI VRSTO OBJEKTA</t>
        </r>
      </text>
    </comment>
    <comment ref="G11" authorId="0" shapeId="0" xr:uid="{00000000-0006-0000-0200-000002000000}">
      <text>
        <r>
          <rPr>
            <sz val="10"/>
            <color indexed="81"/>
            <rFont val="Arial"/>
            <family val="2"/>
            <charset val="238"/>
          </rPr>
          <t>IZBERI VRSTO OBJEKTA</t>
        </r>
      </text>
    </comment>
    <comment ref="J11" authorId="0" shapeId="0" xr:uid="{00000000-0006-0000-0200-000003000000}">
      <text>
        <r>
          <rPr>
            <sz val="9"/>
            <color indexed="81"/>
            <rFont val="Tahoma"/>
            <family val="2"/>
            <charset val="238"/>
          </rPr>
          <t>IZBERI ZAHTEVNOST</t>
        </r>
      </text>
    </comment>
    <comment ref="D12" authorId="0" shapeId="0" xr:uid="{00000000-0006-0000-0200-000004000000}">
      <text>
        <r>
          <rPr>
            <sz val="10"/>
            <color indexed="81"/>
            <rFont val="Arial"/>
            <family val="2"/>
            <charset val="238"/>
          </rPr>
          <t>VPIŠI BRUTO POVRŠINO</t>
        </r>
      </text>
    </comment>
    <comment ref="G12" authorId="0" shapeId="0" xr:uid="{00000000-0006-0000-0200-000005000000}">
      <text>
        <r>
          <rPr>
            <sz val="10"/>
            <color indexed="81"/>
            <rFont val="Arial"/>
            <family val="2"/>
            <charset val="238"/>
          </rPr>
          <t>VPIŠI BRUTO POVRŠINO</t>
        </r>
      </text>
    </comment>
    <comment ref="J12" authorId="0" shapeId="0" xr:uid="{00000000-0006-0000-0200-000006000000}">
      <text>
        <r>
          <rPr>
            <sz val="10"/>
            <color indexed="81"/>
            <rFont val="Arial"/>
            <family val="2"/>
            <charset val="238"/>
          </rPr>
          <t>VPIŠI BRUTO POVRŠINO</t>
        </r>
      </text>
    </comment>
    <comment ref="D14" authorId="0" shapeId="0" xr:uid="{00000000-0006-0000-0200-000007000000}">
      <text>
        <r>
          <rPr>
            <sz val="10"/>
            <color indexed="81"/>
            <rFont val="Arial"/>
            <family val="2"/>
            <charset val="238"/>
          </rPr>
          <t>VPIŠI VREDNOST EUR/m2</t>
        </r>
      </text>
    </comment>
    <comment ref="G14" authorId="0" shapeId="0" xr:uid="{00000000-0006-0000-0200-000008000000}">
      <text>
        <r>
          <rPr>
            <sz val="10"/>
            <color indexed="81"/>
            <rFont val="Arial"/>
            <family val="2"/>
            <charset val="238"/>
          </rPr>
          <t>VPIŠI VREDNOST EUR/m2</t>
        </r>
      </text>
    </comment>
    <comment ref="J14" authorId="0" shapeId="0" xr:uid="{00000000-0006-0000-0200-000009000000}">
      <text>
        <r>
          <rPr>
            <sz val="10"/>
            <color indexed="81"/>
            <rFont val="Arial"/>
            <family val="2"/>
            <charset val="238"/>
          </rPr>
          <t>VPIŠI VREDNOST EUR/m2</t>
        </r>
      </text>
    </comment>
    <comment ref="D16" authorId="0" shapeId="0" xr:uid="{00000000-0006-0000-0200-00000A000000}">
      <text>
        <r>
          <rPr>
            <b/>
            <sz val="10"/>
            <color indexed="81"/>
            <rFont val="Arial"/>
            <family val="2"/>
            <charset val="238"/>
          </rPr>
          <t>I. Razred - nezahtevni objekti</t>
        </r>
        <r>
          <rPr>
            <sz val="10"/>
            <color indexed="81"/>
            <rFont val="Arial"/>
            <family val="2"/>
            <charset val="238"/>
          </rPr>
          <t xml:space="preserve">
Nizke zahteve za vključevanje v okolje, eno funkcijsko območje, nizke oblikovalske zahteve, enostavne konstrukcije, enostavna obdelava.
Npr.: pritlične in enostavne stanovanjske zgradbe, pomožne stavbe o garaže, parkirne hiše, enostavne pritlične poslovne stavbe, enostavne pritlične industrijske stavbe in skladišča
</t>
        </r>
        <r>
          <rPr>
            <b/>
            <sz val="10"/>
            <color indexed="81"/>
            <rFont val="Arial"/>
            <family val="2"/>
            <charset val="238"/>
          </rPr>
          <t>II. Razred – srednje zahtevni objekti</t>
        </r>
        <r>
          <rPr>
            <sz val="10"/>
            <color indexed="81"/>
            <rFont val="Arial"/>
            <family val="2"/>
            <charset val="238"/>
          </rPr>
          <t xml:space="preserve">
Povprečne zahteve za vključevanje v okolje, več funkcijskih območij, povprečne oblikovalske zahteve, običajne konstrukcije povprečna obdelava.
Npr.: večnadstropne stanovanjske hiše, samski in študentski domovi, domovi za starejše, vrtci, osnovne šole, mladinska prenočišča, mladinski in družbeni centri, proizvodni objekti, delavnice, servisi, kmetijske stavbe, parkirne hiše z integriranimi drugimi dejavnostmi, večnadstropne pisarniške stavbe s povprečno opremljenostjo brez dvoran, nakupovalni centri, trgovine, tržnice, sejemske dvorane, gostišča, gasilske in reševalne postaje, ambulante, razstavišča in kinematografi, stavbe za šport, industrijske dvorane z nezapletenimi pogoji
 </t>
        </r>
        <r>
          <rPr>
            <b/>
            <sz val="10"/>
            <color indexed="81"/>
            <rFont val="Arial"/>
            <family val="2"/>
            <charset val="238"/>
          </rPr>
          <t xml:space="preserve">
3. Razred - zahtevni objekti</t>
        </r>
        <r>
          <rPr>
            <sz val="10"/>
            <color indexed="81"/>
            <rFont val="Arial"/>
            <family val="2"/>
            <charset val="238"/>
          </rPr>
          <t xml:space="preserve">
Nadpovprečne zahteve za vključevanje v okolje, mnogo funkcijskih območij in kompleksne povezave, nadpovprečne oblikovalske zahteve, zahtevne konstrukcije nadpovprečna obdelava.
Zahtevne enodružinske hiše, stanovanjske stavbe z nadpovprečno opremljenostjo, terasasti bloki, gosto-nizka zazidava, domovi z dodatnimi medicinsko tehničnimi ureditvami, zahtevne industrijske stavbe (pivovarne, avtomobilska industrija, jeklarne, toplarne...), srednje višje in visoke ter poklicne šole, akademije, vzgojni centri, predavalnice, laboratoriji, knjižnice, arhivi, velike kuhinje, kmetijske stavbe z nadpovprečno opremljenostjo, hoteli, banke, trgovske hiše, upravne stavbe z nadpovprečno opremljenostjo, bolnišnice, terapevtski in rehabilitacijski objekti, univerzitetne klinike, cerkve, koncertne dvorane, muzeji, stadioni, športne in večnamenske dvorane, pokriti plavalni bazeni in športne dvorane, radijski in TV studii, gledališke in koncertne dvorane.</t>
        </r>
        <r>
          <rPr>
            <sz val="9"/>
            <color indexed="81"/>
            <rFont val="Tahoma"/>
            <family val="2"/>
            <charset val="238"/>
          </rPr>
          <t xml:space="preserve">
</t>
        </r>
      </text>
    </comment>
    <comment ref="D17" authorId="0" shapeId="0" xr:uid="{00000000-0006-0000-0200-00000B000000}">
      <text>
        <r>
          <rPr>
            <b/>
            <sz val="10"/>
            <color indexed="81"/>
            <rFont val="Arial"/>
            <family val="2"/>
            <charset val="238"/>
          </rPr>
          <t xml:space="preserve">Razred zahtevnosti I: </t>
        </r>
        <r>
          <rPr>
            <sz val="10"/>
            <color indexed="81"/>
            <rFont val="Arial"/>
            <family val="2"/>
            <charset val="238"/>
          </rPr>
          <t xml:space="preserve">
Nosilne konstrukcije z zelo nizko statično zahtevnostjo, predvsem:  enostavne statično določene ravninske konstrukcije iz lesa, jekla, kamna ali ne armiranega betona, za mirujoče obtežbe, brez dokazovanja horizontalne togosti. 
</t>
        </r>
        <r>
          <rPr>
            <b/>
            <sz val="10"/>
            <color indexed="81"/>
            <rFont val="Arial"/>
            <family val="2"/>
            <charset val="238"/>
          </rPr>
          <t>Razred zahtevnosti II:</t>
        </r>
        <r>
          <rPr>
            <sz val="10"/>
            <color indexed="81"/>
            <rFont val="Arial"/>
            <family val="2"/>
            <charset val="238"/>
          </rPr>
          <t xml:space="preserve">
Nosilne konstrukcije z nizko statično zahtevnostjo, predvsem:
a) statično določene ravninske konstrukcije konvencionalne izvedbe, brez prednapetih in sovprežnih konstrukcij, za pretežno mirujočo obremenitev,
b) stropne konstrukcije s pretežno mirujočo površinsko obtežbo, ki se jo da določiti na podlagi izkustvenih tabel,
c) zidane gradnje z nosilnimi stenami do temeljev, brez ugotavljanja horizontalne togosti,
d) ploskovna temeljenja (temeljne plošče) in enostavno izvedene oporne stene.
</t>
        </r>
        <r>
          <rPr>
            <b/>
            <sz val="10"/>
            <color indexed="81"/>
            <rFont val="Arial"/>
            <family val="2"/>
            <charset val="238"/>
          </rPr>
          <t>Razred zahtevnosti III:</t>
        </r>
        <r>
          <rPr>
            <sz val="10"/>
            <color indexed="81"/>
            <rFont val="Arial"/>
            <family val="2"/>
            <charset val="238"/>
          </rPr>
          <t xml:space="preserve">
Nosilne konstrukcije s povprečno zahtevnostjo, predvsem:
a) zahtevne, statično določene in nedoločene ravninske konstrukcije, konvencionalne izvedbe, brez prednapetih in sovprežnih konstrukcij,
b) enostavne sovprežne konstrukcije stavb, brez upoštevanja vpliva raztezkov in skrčkov,
c) nosilne konstrukcije stavb iz podajnih sten,
d) skeletne konstrukcije,
e) temeljne brane,
f) enostavni oboki,
g) enostavne okvirne konstrukcije brez prednapetih konstrukcij in preverjanja stabilnosti,
h) enostavne nosilne brane in drugi enostavni skeleti inženirskih objektov,
i) enostavne sidrane oporne stene.
 </t>
        </r>
        <r>
          <rPr>
            <b/>
            <sz val="10"/>
            <color indexed="81"/>
            <rFont val="Arial"/>
            <family val="2"/>
            <charset val="238"/>
          </rPr>
          <t xml:space="preserve">
Razred zahtevnosti IV:</t>
        </r>
        <r>
          <rPr>
            <sz val="10"/>
            <color indexed="81"/>
            <rFont val="Arial"/>
            <family val="2"/>
            <charset val="238"/>
          </rPr>
          <t xml:space="preserve">
Nosilne konstrukcije z nadpovprečno zahtevnostjo, predvsem:
statično in konstrukcijsko zahtevne nosilne konstrukcije, konvencionalne izvedbe, in nosilne konstrukcije, pri katerih je pri preverjanju stabilnosti in trdnosti treba upoštevati težko določljive vplive, večkrat statično nedoločeni sistemi, statično določene prostorske predalčne konstrukcije, enostavne sestavljive konstrukcije, določene po teoriji upogibnih nosilcev, statično določene nosilne konstrukcije, pri katerih se za določitev prerezov upošteva teorija II. reda, enostavno izračunljive konstrukcije, prednapete s kabli, nosilne konstrukcije zahtevnih okvirjev in skeletov ter tudi stolpov, pri katerih se morata stabilnost in trdnost preverjati po posebnih računskih metodah, sovprežne konstrukcije, če niso zajete v III. ali V. honorarnem razredu, enostavne brane in ortotropne plošče, nosilne konstrukcije, preizkušene za nihanja po enostavnem postopku, zahtevna, statično nedoločena ploskovna temeljenja, zahtevna ravninska in prostorska pilotna temeljenja, posebni postopki temeljenja, poševne plošče prek enega polja za inženirske gradnje, poševno podprti ali ukrivljeni nosilci, zahtevni oboki in sistem obokov, okvirne nosilne konstrukcije, če niso zajete v III. ali V. honorarnem razredu, zahtevna podporna konstrukcija in drugi zahtevni odri za inženirske gradnje, zahtevne sidrane oporne stene, zidane konstrukcije  s preizkusom primernosti (inženirska opečna gradnja),
</t>
        </r>
        <r>
          <rPr>
            <b/>
            <sz val="10"/>
            <color indexed="81"/>
            <rFont val="Arial"/>
            <family val="2"/>
            <charset val="238"/>
          </rPr>
          <t>Razred zahtevnosti V:</t>
        </r>
        <r>
          <rPr>
            <sz val="10"/>
            <color indexed="81"/>
            <rFont val="Arial"/>
            <family val="2"/>
            <charset val="238"/>
          </rPr>
          <t xml:space="preserve">
Zelo zahtevne nosilne konstrukcije, predvsem: statično in konstrukcijsko neobičajno zahtevne nosilne konstrukcije, zahtevne inovativne nosilne konstrukcije, prostorske palične in statično nedoločene predalčne konstrukcije, zahtevne brane in ortotropne plošče, sovprežne konstrukcije, prednapete z nadvišanjem ali drugimi ukrepi, ploskovne konstrukcije (plošče, šipe, poliedrične konstrukcije, lupine), statično nedoločene nosilne konstrukcije, pri katerih se za določitev prerezov upošteva teorija II. reda, nosilne konstrukcije s preizkušeno stabilnostjo, ki se jo da preveriti le z modelnimi preizkusi ali izračunom na podlagi metode končnih elementov, nosilne konstrukcije, preizkušene za nihanja, če niso zajete v IV. honorarnem razredu, konstrukcije, prednapete s kabli, če niso zajete v IV. honorarnem razredu, poševne plošče prek več polj, poševno podprti ali ukrivljeni nosilci, zahtevna okvirna konstrukcija s prednapetimi konstrukcijskimi elementi in preverjanjem stabilnosti, zelo zahtevni nosilni odri in drugi zelo zahtevni odri za inženirske gradnje, npr. visoki nosilni odri ali odri s širokim razponom, nosilne konstrukcije, pri katerih je za dimenzioniranje prerezov konstrukcij treba upoštevati podajanje veznih sredstev.
</t>
        </r>
        <r>
          <rPr>
            <b/>
            <sz val="10"/>
            <color indexed="81"/>
            <rFont val="Arial"/>
            <family val="2"/>
            <charset val="238"/>
          </rPr>
          <t xml:space="preserve">Če je za uvrščanje nosilnih konstrukcij v razrede zahtevnosti načrtovanja možno uporabiti merila iz več razredov zahtevnosti in obstoja dilema v kateri razred zahtevnosti naj se jih uvrsti, se v konkretnem primeru izpolni kriterije po preglednici iz (2) odstavka. Razred zahtevnosti načrtovanja pa potem predstavlja tisti razred, v katerem je večina izpolnjenih kriterijev. </t>
        </r>
      </text>
    </comment>
    <comment ref="D18" authorId="0" shapeId="0" xr:uid="{00000000-0006-0000-0200-00000C000000}">
      <text>
        <r>
          <rPr>
            <b/>
            <sz val="10"/>
            <color indexed="81"/>
            <rFont val="Arial"/>
            <family val="2"/>
            <charset val="238"/>
          </rPr>
          <t>Razred zahtevnosti I</t>
        </r>
        <r>
          <rPr>
            <sz val="10"/>
            <color indexed="81"/>
            <rFont val="Arial"/>
            <family val="2"/>
            <charset val="238"/>
          </rPr>
          <t xml:space="preserve">
naprave za: plin, pripravo vode, ravnanje z odpadnimi vodami in sanitarno tehnične naprave s kratkim in enostavnim cevnim omrežjem
posamične naprave za ogrevanje na direktno kurjenje in enostavne stavne kurilne naprave brez posebni regulacijskih zahtev; prezračevalne naprave enostavne vrste – tipa
naprave za odstranjevanje odpadkov ali perila, enostavna enojna dvigala, regalne naprave če niso zajete v razredu II ali III
naprave za kemične čistilnice 
medicinske in laboratorijske naprave elektromedicine, dentalne medicine, medicinska mehanika in finomehanika, optika, vselej za zdravniško prakso splošne medicine
</t>
        </r>
        <r>
          <rPr>
            <b/>
            <sz val="10"/>
            <color indexed="81"/>
            <rFont val="Arial"/>
            <family val="2"/>
            <charset val="238"/>
          </rPr>
          <t>Razred zahtevnosti II</t>
        </r>
        <r>
          <rPr>
            <sz val="10"/>
            <color indexed="81"/>
            <rFont val="Arial"/>
            <family val="2"/>
            <charset val="238"/>
          </rPr>
          <t xml:space="preserve">
naprave za: plin, pripravo vode, ravnanje z odpadnimi vodami in sanitarno tehnične naprave z obsežno razvejanimi cevnimi mrežami, dvigalne naprave in napravami za zviševanje tlaka, ročne gasilne in protipožarne naprave
naprave za ogrevanje stavb s posebnimi regulacijskimi zahtevami; cevne mreže za daljinska ogrevanja in hlajenja s predajnimi postajami; prezračevalne naprave z zahtevami glede jakosti hrupa, udobnosti, ali z dodatno pripravo zraka (zračno hlajenje regulirano od zunaj).
hidravlični odri, dvigala upravljana  s tal;  
regulacija za obratovanje, testiranje, računalniška regulacija na vklop; tekoče stopnice in posamični tekoči trakovi; transportne naprave za največ dve prevzemni in  oddajni postaji, težavna posamična dvigala, enostavne, skupine dvigal brez posebnih zahtev, tehnične naprave za gledališke odre
naprave za kuhinje, pralnice perila srednje velikosti
medicinske in laboratorijske naprave elektromedicine, dentalne medicine, medicinska mehanika in finomehanika, optika, rentgenske in nuklearne naprave za majhne doze obsevanja, konkretne za specialistične ali skupinske prakse zdravljenja, sanatorije, domove ostarelih ljudi in enostavne  bolniščnične ambulante, laboratorijske naprave npr. za šole in fotolaboratorije  
 </t>
        </r>
        <r>
          <rPr>
            <b/>
            <sz val="10"/>
            <color indexed="81"/>
            <rFont val="Arial"/>
            <family val="2"/>
            <charset val="238"/>
          </rPr>
          <t xml:space="preserve">
Razred zahtevnosti III</t>
        </r>
        <r>
          <rPr>
            <sz val="10"/>
            <color indexed="81"/>
            <rFont val="Arial"/>
            <family val="2"/>
            <charset val="238"/>
          </rPr>
          <t xml:space="preserve">
naprave za proizvodnjo plina in postaje za tlačno regulacijo plina vključno pripadajoče cevne mreže, naprave za čiščenje, razstrupljanje in nevtralizacijo odpadne vode; naprave za biološko, kemično in fizikalno obdelavo vod, odpadnih vod in sanitarno tehnične naprave z nad poprečnimi higienskimi zahtevami; avtomatske gasilne in protipožarne naprave 
parne naprave, naprave za pripravo tople vode, težavni ogrevni sistemi na podlagi nove tehnologije, naprave za črpanje tople vode; centrale za daljinsko ogrevanje in hlajenje, hladilne naprave; prezračevalne naprave z reguliranim hlajenjem zraka, vključno pripadajoče  naprave za hlad.
skupine dvigal s posebnimi zahtevami, regulirane transportne naprave za več kot dve prevzemni in oddajni mesti, naprave za upravljanje regalov s pripadajočo regulacijo; centralne naprave za odstranjevanje perila, odpadkov ali prahu; tehnične naprave za velike odre, višinsko nastavljivi vmesni podi; naprave za valovanje v kopalnih bazenih, naprave za zaščito pred sončnimi žarki z avtomatsko regulacijo
naprave za velike kuhinje in pralnice perila
medicinske in laboratorijske naprave za velike bolnice s poudarkom na prostorih za preiskavo in zdravljenje kot tudi za klinike, inštitute z nalogo poučevanja in raziskav, klimatske komore in naprave za njih, naprave prostorov za izredne temperature, mikro biološke prostore; naprave za vakuumiranje, naprave za oskrbo  z mediji (tekočine, plini in materiali) in naprave za odstranjevanje njihovih odpadkov; kemijske in fizikalne naprave za velike obrate, raziskavo in razvoj, izdelavo , za klinike in poučevanje.</t>
        </r>
        <r>
          <rPr>
            <sz val="9"/>
            <color indexed="81"/>
            <rFont val="Tahoma"/>
            <family val="2"/>
            <charset val="238"/>
          </rPr>
          <t xml:space="preserve">
</t>
        </r>
      </text>
    </comment>
    <comment ref="D19" authorId="0" shapeId="0" xr:uid="{00000000-0006-0000-0200-00000D000000}">
      <text>
        <r>
          <rPr>
            <b/>
            <sz val="10"/>
            <color indexed="81"/>
            <rFont val="Arial"/>
            <family val="2"/>
            <charset val="238"/>
          </rPr>
          <t>Razred zahtevnosti I:</t>
        </r>
        <r>
          <rPr>
            <sz val="10"/>
            <color indexed="81"/>
            <rFont val="Arial"/>
            <family val="2"/>
            <charset val="238"/>
          </rPr>
          <t xml:space="preserve">
</t>
        </r>
        <r>
          <rPr>
            <i/>
            <sz val="10"/>
            <color indexed="81"/>
            <rFont val="Arial"/>
            <family val="2"/>
            <charset val="238"/>
          </rPr>
          <t>Močnostne inštalacije:</t>
        </r>
        <r>
          <rPr>
            <sz val="10"/>
            <color indexed="81"/>
            <rFont val="Arial"/>
            <family val="2"/>
            <charset val="238"/>
          </rPr>
          <t xml:space="preserve">
enostavna splošna razsvetljava z majhnim številom tipov svetilk (do deset) s prižiganjem s klasičnimi stikali oziroma skupino svetilk prek vklopnikov, enostavna varnostna razsvetljava s posameznimi varnostnimi svetilkami; preizkus svetilk je izveden s stikalom v stikalnem bloku, enostavna zunanja razsvetljava neposredne okolice objekta brez lastnega prižigališča ter vezana na sistem splošne razsvetljave v objektu, enostaven razvod vtičnic in priključkov manjše moči (do 2 kW), enostavni motorni pogoni, enostaven razvod moči po objektu, vključno z meritvami, največ do osem odcepov in samo ena vrsta napajanja (npr. mreža), enostavna strelovodna inštalacija, ozemljitve in izenačitve potencialov;
</t>
        </r>
        <r>
          <rPr>
            <i/>
            <sz val="10"/>
            <color indexed="81"/>
            <rFont val="Arial"/>
            <family val="2"/>
            <charset val="238"/>
          </rPr>
          <t>Signalnokomunikacijske inštalacije:</t>
        </r>
        <r>
          <rPr>
            <sz val="10"/>
            <color indexed="81"/>
            <rFont val="Arial"/>
            <family val="2"/>
            <charset val="238"/>
          </rPr>
          <t xml:space="preserve">
enostavna telefonska inštalacija, sistem električnih ur, sistem enostavnih in zahtevnejših domofonov, sistem zahtevnejše interfonske inštalacije;
 </t>
        </r>
        <r>
          <rPr>
            <b/>
            <sz val="10"/>
            <color indexed="81"/>
            <rFont val="Arial"/>
            <family val="2"/>
            <charset val="238"/>
          </rPr>
          <t xml:space="preserve">
Razred zahtevnosti II:</t>
        </r>
        <r>
          <rPr>
            <sz val="10"/>
            <color indexed="81"/>
            <rFont val="Arial"/>
            <family val="2"/>
            <charset val="238"/>
          </rPr>
          <t xml:space="preserve">
</t>
        </r>
        <r>
          <rPr>
            <i/>
            <sz val="10"/>
            <color indexed="81"/>
            <rFont val="Arial"/>
            <family val="2"/>
            <charset val="238"/>
          </rPr>
          <t>Močnostne inštalacije:</t>
        </r>
        <r>
          <rPr>
            <sz val="10"/>
            <color indexed="81"/>
            <rFont val="Arial"/>
            <family val="2"/>
            <charset val="238"/>
          </rPr>
          <t xml:space="preserve">
zahtevnejša splošna razsvetljava z večjim številom tipov svetilk (do 30) s kombiniranim prižiganjem (klasična stikala, prek vklopnikov, stikalnih plošč ipd.),  zahtevnejša varnostna razsvetljava s posameznimi varnostnimi svetilkami in svetilkami splošne razsvetljave, ki imajo prigrajen odgovarjajoč modul. Preizkus svetilk je izveden s stikalom v stikalnem bloku. Prigrajena je enostavna naprava za preverjanje in izklop varnostne razsvetljave, kadar ni potrebna, razvod vtičnic in priključkov večje moči (do 10 kW) v zahtevnejših objektih,  enostavne inštalacije v izvedbi "Ex", zahtevnejši razvod moči po objektu, vključno z več meritvami in največ do 20 odcepov in dve vrsti napajanja (npr. mreža in agregat ali mreža in UPS), zahtevnejša strelovodna inštalacija, ozemljitve in izenačitve potencialov,  dizelske generatorske in podobne agregatne napajalne postaje, sistemi UPS s pripadajočimi razvodi, javna razsvetljava prometnic, velikih trgovskih in tovarniških kompleksov z lastnim prižigališčem;
</t>
        </r>
        <r>
          <rPr>
            <i/>
            <sz val="10"/>
            <color indexed="81"/>
            <rFont val="Arial"/>
            <family val="2"/>
            <charset val="238"/>
          </rPr>
          <t>Signalnokomunikacijske inštalacije:</t>
        </r>
        <r>
          <rPr>
            <sz val="10"/>
            <color indexed="81"/>
            <rFont val="Arial"/>
            <family val="2"/>
            <charset val="238"/>
          </rPr>
          <t xml:space="preserve">
zahtevnejši razvodi informacijskega ožičenja (telefonija, računalniška mreža, DECT, blagajne …), zahtevnejša telefonska inštalacija,  enostaven in zahtevnejši sistem avtomatskega odkrivanja in javljanja požara z manjšimi zahtevami po krmiljenju naprav iz zahtev študije požarne varnosti, sistem avtomatskega javljanja CO v garažah in plina v kotlovnicah,  enostaven in zahtevnejši sistem enoprogramskega ozvočenja, sistem kontrole pristopa in registracija delovnega časa, enostaven in zahtevnejši sistem tehničnega varovanja,  zahtevnejši sistem videonadzora v smislu tehničnega varovanja (vhodi, prehodi …),  zahtevnejši sistem domofonov in videodomofonov,  zahtevnejši sistem interfonske inštalacije; 
</t>
        </r>
        <r>
          <rPr>
            <b/>
            <sz val="10"/>
            <color indexed="81"/>
            <rFont val="Arial"/>
            <family val="2"/>
            <charset val="238"/>
          </rPr>
          <t> 
Razred zahtevnosti III:</t>
        </r>
        <r>
          <rPr>
            <sz val="10"/>
            <color indexed="81"/>
            <rFont val="Arial"/>
            <family val="2"/>
            <charset val="238"/>
          </rPr>
          <t xml:space="preserve">
</t>
        </r>
        <r>
          <rPr>
            <i/>
            <sz val="10"/>
            <color indexed="81"/>
            <rFont val="Arial"/>
            <family val="2"/>
            <charset val="238"/>
          </rPr>
          <t>Močnostne inštalacije:</t>
        </r>
        <r>
          <rPr>
            <sz val="10"/>
            <color indexed="81"/>
            <rFont val="Arial"/>
            <family val="2"/>
            <charset val="238"/>
          </rPr>
          <t xml:space="preserve">
zelo zahtevna splošna razsvetljava z velikim številom tipov svetilk (prek 30), pretežno s krmiljenjem razsvetljave prek raznih inteligentnih sistemov in delno z enostavnim krmiljenjem in prižiganjem (klasična stikala, prek kontaktorjev) za pomožne prostore ter razsvetljava z regulacijo svetlobnega toka, zelo zahtevna varnostna razsvetljava s posameznimi varnostnimi svetilkami in svetilkami splošne razsvetljave, ki imajo prigrajen odgovarjajoč modul. Sistem svetilk je pri preizkušanju, testiranju, nadzoru …, povezan na odgovarjajoč inteligentni sistem. Svetilke imajo lastne akumulatorje oziroma se napajajo prek odgovarjajoče centralne akumulatorske baterije, sistemi scenske in odrske razsvetljave s pripadajočim krmiljenjem in regulacijo, zahtevnejši razvod vtičnic in priključkov velike moči (nad 10 kW), v zahtevnih objektih, velike kuhinje, industrijski obrati,  zahteven razvod moči po objektu, vključno z več meritvami, velikim številom odcepov in več vrstami napajanja (npr.  mreža, agregat in UPS),  zelo zahtevna strelovodna inštalacija, ozemljitve in izenačitve (hoteli, kongresni centri, gledališča, zdraviliški objekti …), avtomatika strojnih naprav (klimatizacija in prezračevanje, ogrevanje in hlajenje …) z relejno avtomatiko ali krmilniki, centralni nadzorni sistemi – postavitev sistema in povezava posameznih krmilnikov v funkcionalno celoto,  elektromotorni pogoni in avtomatika (relejna avtomatika, krmilniki) tehnoloških sistemov, raznih industrijskih postrojev, vodovodnih sistemov, toplarn, zahtevne elektroinštalacije v izvedbi "Ex", povezane z napajanjem motornih tokokrogov ter pripadajočim krmiljenjem in regulacijo,  zunanja razsvetljava prometnih križanj v več nivojih, razsvetljava predorov, velikih športnih stadionov ipd., razne inteligentne inštalacije in sistemi krmiljenja ter regulacije stavbne tehnike z medsebojno povezljivostjo in odvisnostjo naslednjih posameznih sistemov (razsvetljava, senčila, rolete, žaluzije, ventilatorski konvektorji, strojne naprave); 
</t>
        </r>
        <r>
          <rPr>
            <i/>
            <sz val="10"/>
            <color indexed="81"/>
            <rFont val="Arial"/>
            <family val="2"/>
            <charset val="238"/>
          </rPr>
          <t>Signalnokomunikacijske inštalacije:</t>
        </r>
        <r>
          <rPr>
            <sz val="10"/>
            <color indexed="81"/>
            <rFont val="Arial"/>
            <family val="2"/>
            <charset val="238"/>
          </rPr>
          <t xml:space="preserve">
zahteven razvod informacijskega ožičenja (telefonija, računalniška mreža, DECT, blagajne …) v velikih poslovnih stavbah, poslovno-trgovskih centrih, bolnišnicah, kongresnih centrih …, sistem avtomatskega odkrivanja in javljanja požara v zahtevnih objektih, vključno z velikimi zahtevami po krmiljenju naprav iz zahtev študije požarne varnosti,  sistem avtomatskega gašenja s plinskimi sredstvi,  sistem avtomatskega javljanja koncentracije raznih plinov v industrijskih objektih, pretakališčih, skladiščih nevarnih in eksplozijskih snovi, najzahtevnejši sistem videodomofonov, najzahtevnejši sistem videonadzora v smislu tehničnega varovanja (vhodi, prehodi …) in nadziranja raznih delovnih mest in področij (blagajne, igralne mize, bazenski prostori, nevarna delovna mesta …), skupinski antenski sistem (SAS), sistem razvoda kabelske TV (KATV, KRS) in plačilne TV, najzahtevnejši sistem večprogramskega ozvočenja,  drugo najzahtevnejše tehnično varovanje (ograje, mikrovalovno, infrardeče, kontrola vnosa kovin, štetje obiskovalcev ipd.), zahtevni sistem kontrole pristopa (hotelsko-zabaviščni objekti s kopališči, fitnesi, "wellnes" prostori; igralnice, športni objekti, bolnišnice, veliki poslovni objekti …),  konferenčno-kongresni sistemi in multimedija (avdio- in videopredstavitve, videokonference …), sistem za simultano prevajanje, signalizacija medicinskih plinov, sistemi klicnih naprav (bolnišnice, hoteli);</t>
        </r>
      </text>
    </comment>
    <comment ref="D20" authorId="0" shapeId="0" xr:uid="{00000000-0006-0000-0200-00000E000000}">
      <text>
        <r>
          <rPr>
            <b/>
            <sz val="10"/>
            <color indexed="81"/>
            <rFont val="Arial"/>
            <family val="2"/>
            <charset val="238"/>
          </rPr>
          <t>Razred zahtevnosti I:</t>
        </r>
        <r>
          <rPr>
            <sz val="10"/>
            <color indexed="81"/>
            <rFont val="Arial"/>
            <family val="2"/>
            <charset val="238"/>
          </rPr>
          <t xml:space="preserve">
spalne in bivalne barake in druge pomožne stavbe za začasno rabo, dvorane za odmor in igro, ležanje in sprehajanje,  nastanitvene hale,  povezovalni hodniki, skednji in druge preproste kmetijske stavbe, tribune, zavetja;
</t>
        </r>
        <r>
          <rPr>
            <b/>
            <sz val="10"/>
            <color indexed="81"/>
            <rFont val="Arial"/>
            <family val="2"/>
            <charset val="238"/>
          </rPr>
          <t>Razred zahtevnosti II:</t>
        </r>
        <r>
          <rPr>
            <sz val="10"/>
            <color indexed="81"/>
            <rFont val="Arial"/>
            <family val="2"/>
            <charset val="238"/>
          </rPr>
          <t xml:space="preserve">
enostavne stanovanjske enote s skupnim sanitarijami in kuhinjskimi napravami, garaže, parkirne hiše, pralnice, zaprte enoetažne hale in stavbe, kot samostojni namenski objekt, blagajniške zgradbe, čolnarne, enostavne delavnice  brez prog za dvigala, skladišča prodajaln, nezgodne in reševalne postaje, glasbeni paviljoni;
</t>
        </r>
        <r>
          <rPr>
            <b/>
            <sz val="10"/>
            <color indexed="81"/>
            <rFont val="Arial"/>
            <family val="2"/>
            <charset val="238"/>
          </rPr>
          <t>Razred zahtevnosti III:</t>
        </r>
        <r>
          <rPr>
            <sz val="10"/>
            <color indexed="81"/>
            <rFont val="Arial"/>
            <family val="2"/>
            <charset val="238"/>
          </rPr>
          <t xml:space="preserve">
stanovanjske hiše, samski in študentski domovi ter domovi s povprečno opremljenostjo, otroške jasli, vrtci, skupna prenočišča, študentska prenočišča, osnovne šole, stavbe za prostočasne dejavnosti, mladinski centri, domovi občanov, študentski domovi,  domovi starejših občanov in druge varstvene dejavnosti, proizvodne stavbe kovinsko predelovalne industrije, tiskarne, hladilnice, delavnice, zaprte hale,  kmetijske stavbe, če niso zajete v I., II. ali IV. razredu, parkirne hiše z integriranimi drugimi dejavnostmi, pisarniške stavbe s povprečno opremljenostjo, brez dvoran, trgovine in male tržnice, nakupovalni centri, trgi in velike tržnice, sejemske dvorane, gostišča, kantine, menze, gospodarska poslopja, gasilske in reševalne postaje, ambulante, domovi oskrbovancev brez medicinsko-tehnične opreme, pomožne bolnišnice, razstaviščne stavbe, kinematografi, stavbe in naprave za telesno vadbo in šport, če niso zajete v II. ali IV. razredu;
</t>
        </r>
        <r>
          <rPr>
            <b/>
            <sz val="10"/>
            <color indexed="81"/>
            <rFont val="Arial"/>
            <family val="2"/>
            <charset val="238"/>
          </rPr>
          <t>Razred zahtevnosti IV: </t>
        </r>
        <r>
          <rPr>
            <sz val="10"/>
            <color indexed="81"/>
            <rFont val="Arial"/>
            <family val="2"/>
            <charset val="238"/>
          </rPr>
          <t xml:space="preserve">
stanovanjske stavbe z nadpovprečno opremljenostjo, terasasti in gričasti stanovanjski bloki, načrtovalsko zahtevne enodružinske hiše z ustrezno obdelanostjo, skupine hiš v načrtovalsko zahtevnem zgoščenem načinu zidave na majhnih zemljiščih, domovi z dodatnimi medicinsko-tehničnimi ureditvami, centralne delavnice, pivovarne, proizvodne stavbe avtomobilske industrije, elektrarniške stavbe, šole, razen osnovnih šol, vzgojni centri, poklicne šole, visoke šole, univerze, akademije, predavalnice, laboratoriji, knjižnice, arhivi, industrijske stavbe za praktični pouk, raziskave, če niso zajeti v V. razredu, kmetijske stavbe z nadpovprečno opremljenostjo, velike kuhinje, hoteli, banke, trgovske hiše, mestne hiše, objekti parlamenta, sodišč in tudi drugi objekti upravnih organov z nadpovprečno opremljenostjo, bolnišnice za I. in II. stopnjo oskrbe, specializirane bolnišnice, terapevtski in rehabilitacijski objekti in naprave, stavbe za oddih, zdravljenje in okrevanje, cerkve, koncertne dvorane, muzeji, tribune za stadione, večnamenske dvorane za verske-, kulturne-, športne dogodke, plavalni bazeni v dvoranah, športno vadbeni centri, veliki športni predeli;
</t>
        </r>
        <r>
          <rPr>
            <b/>
            <sz val="10"/>
            <color indexed="81"/>
            <rFont val="Arial"/>
            <family val="2"/>
            <charset val="238"/>
          </rPr>
          <t>Razred zahtevnosti V:</t>
        </r>
        <r>
          <rPr>
            <sz val="10"/>
            <color indexed="81"/>
            <rFont val="Arial"/>
            <family val="2"/>
            <charset val="238"/>
          </rPr>
          <t xml:space="preserve">
bolnišnice III. stopnje oskrbe, univerzitetne klinike, stavbe za jeklarne, predelavo rude, koksarne, radijski in televizijski studii, gledališke in koncertne dvorane in stavbe,  stavbe za znanstvene raziskave (eksperimentiranje po strokovnih smereh).</t>
        </r>
        <r>
          <rPr>
            <sz val="9"/>
            <color indexed="81"/>
            <rFont val="Tahoma"/>
            <family val="2"/>
            <charset val="238"/>
          </rPr>
          <t xml:space="preserve">
</t>
        </r>
      </text>
    </comment>
    <comment ref="D21" authorId="0" shapeId="0" xr:uid="{00000000-0006-0000-0200-00000F000000}">
      <text>
        <r>
          <rPr>
            <b/>
            <sz val="10"/>
            <color indexed="81"/>
            <rFont val="Arial"/>
            <family val="2"/>
            <charset val="238"/>
          </rPr>
          <t>Razred zahtevnosti I</t>
        </r>
        <r>
          <rPr>
            <sz val="10"/>
            <color indexed="81"/>
            <rFont val="Arial"/>
            <family val="2"/>
            <charset val="238"/>
          </rPr>
          <t xml:space="preserve">
Stavbe z nizkimi projektantskimi zahtevami za akustiko stavbe, predvsem:
stanovanjske stavbe, domovi, šole, upravne stavbe in banke s povprečno tehnično opremo in ustrezajočo gradnjo.
</t>
        </r>
        <r>
          <rPr>
            <b/>
            <sz val="10"/>
            <color indexed="81"/>
            <rFont val="Arial"/>
            <family val="2"/>
            <charset val="238"/>
          </rPr>
          <t>Razred zahtevnosti II</t>
        </r>
        <r>
          <rPr>
            <sz val="10"/>
            <color indexed="81"/>
            <rFont val="Arial"/>
            <family val="2"/>
            <charset val="238"/>
          </rPr>
          <t xml:space="preserve">
Stavbe s povprečnimi projektantskimi zahtevami za akustiko stavbe, predvsem:
- domovi, šole, upravne stavbe in banke z nadpovprečno tehnično opremo in ustrezajočo gradnjo,
- stanovanjske stavbe z zamaknjenimi tlorisi,
- stanovanjske stavbe, izpostavljene zunanjemu hrupu,
- hoteli, če ne spadajo v III. razred,
- univerze in visoke šole,
- bolnišnice, če ne spadajo v III. razred,
- stavbe za oddih, zdravljenje in rekreacijo,
- zgradbe za shode, če ne spadajo v III. razred,
- delavnice, ki potrebujejo zaščitene prostore.
 </t>
        </r>
        <r>
          <rPr>
            <b/>
            <sz val="10"/>
            <color indexed="81"/>
            <rFont val="Arial"/>
            <family val="2"/>
            <charset val="238"/>
          </rPr>
          <t xml:space="preserve">
Razred zahtevnosti III</t>
        </r>
        <r>
          <rPr>
            <sz val="10"/>
            <color indexed="81"/>
            <rFont val="Arial"/>
            <family val="2"/>
            <charset val="238"/>
          </rPr>
          <t xml:space="preserve">
Stavbe z nadpovprečnimi projektantskimi zahtevami za akustiko stavbe, predvsem:
- hoteli z obsežno gastronomsko dejavnostjo,
- stavbe za gospodarsko - poslovno in stanovanjsko rabo,
- bolnišnice na posebej neugodnih lokacijah ali z neugodno razporeditvijo oskrbovalnih naprav,
- koncertne- , gledališke-, kongresne dvorane,
- snemalni studii, akustični merilni laboratoriji.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Mima</author>
  </authors>
  <commentList>
    <comment ref="C89" authorId="0" shapeId="0" xr:uid="{00000000-0006-0000-0400-000001000000}">
      <text>
        <r>
          <rPr>
            <b/>
            <sz val="9"/>
            <color indexed="81"/>
            <rFont val="Tahoma"/>
            <family val="2"/>
            <charset val="238"/>
          </rPr>
          <t>Mima:</t>
        </r>
        <r>
          <rPr>
            <sz val="9"/>
            <color indexed="81"/>
            <rFont val="Tahoma"/>
            <family val="2"/>
            <charset val="238"/>
          </rPr>
          <t xml:space="preserve">
PROCENTE SEM POPRAVILA TAKO DA SEM JIM PRIŠTELA VREDNOSTI ZA VODILNO MAPO</t>
        </r>
      </text>
    </comment>
    <comment ref="D89" authorId="0" shapeId="0" xr:uid="{00000000-0006-0000-0400-000002000000}">
      <text>
        <r>
          <rPr>
            <b/>
            <sz val="9"/>
            <color indexed="81"/>
            <rFont val="Tahoma"/>
            <family val="2"/>
            <charset val="238"/>
          </rPr>
          <t>Mima:</t>
        </r>
        <r>
          <rPr>
            <sz val="9"/>
            <color indexed="81"/>
            <rFont val="Tahoma"/>
            <family val="2"/>
            <charset val="238"/>
          </rPr>
          <t xml:space="preserve">
po hrvaškem vzorcu</t>
        </r>
      </text>
    </comment>
    <comment ref="E89" authorId="0" shapeId="0" xr:uid="{00000000-0006-0000-0400-000003000000}">
      <text>
        <r>
          <rPr>
            <b/>
            <sz val="9"/>
            <color indexed="81"/>
            <rFont val="Tahoma"/>
            <family val="2"/>
            <charset val="238"/>
          </rPr>
          <t>Mima:</t>
        </r>
        <r>
          <rPr>
            <sz val="9"/>
            <color indexed="81"/>
            <rFont val="Tahoma"/>
            <family val="2"/>
            <charset val="238"/>
          </rPr>
          <t xml:space="preserve">
kot v arhigramu 1</t>
        </r>
      </text>
    </comment>
    <comment ref="K89" authorId="0" shapeId="0" xr:uid="{00000000-0006-0000-0400-000004000000}">
      <text>
        <r>
          <rPr>
            <b/>
            <sz val="9"/>
            <color indexed="81"/>
            <rFont val="Tahoma"/>
            <family val="2"/>
            <charset val="238"/>
          </rPr>
          <t>Mima:</t>
        </r>
        <r>
          <rPr>
            <sz val="9"/>
            <color indexed="81"/>
            <rFont val="Tahoma"/>
            <family val="2"/>
            <charset val="238"/>
          </rPr>
          <t xml:space="preserve">
po hrvaškem vzorcu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C4" authorId="0" shapeId="0" xr:uid="{00000000-0006-0000-0500-000001000000}">
      <text>
        <r>
          <rPr>
            <b/>
            <sz val="9"/>
            <color indexed="81"/>
            <rFont val="Tahoma"/>
            <family val="2"/>
            <charset val="238"/>
          </rPr>
          <t>Mika:</t>
        </r>
        <r>
          <rPr>
            <sz val="9"/>
            <color indexed="81"/>
            <rFont val="Tahoma"/>
            <family val="2"/>
            <charset val="238"/>
          </rPr>
          <t xml:space="preserve">
Povprečen izračun za povprečno plačo v biroju z redno zaposlenimi, 10 let delovne dobe, 1  otrok.</t>
        </r>
      </text>
    </comment>
    <comment ref="C7" authorId="0" shapeId="0" xr:uid="{00000000-0006-0000-0500-000002000000}">
      <text>
        <r>
          <rPr>
            <b/>
            <sz val="8"/>
            <color indexed="81"/>
            <rFont val="Tahoma"/>
            <family val="2"/>
            <charset val="238"/>
          </rPr>
          <t>Mika:</t>
        </r>
        <r>
          <rPr>
            <sz val="8"/>
            <color indexed="81"/>
            <rFont val="Tahoma"/>
            <family val="2"/>
            <charset val="238"/>
          </rPr>
          <t xml:space="preserve">
povprečna plača v biroju</t>
        </r>
      </text>
    </comment>
    <comment ref="C28" authorId="0" shapeId="0" xr:uid="{00000000-0006-0000-0500-000003000000}">
      <text>
        <r>
          <rPr>
            <b/>
            <sz val="9"/>
            <color indexed="81"/>
            <rFont val="Tahoma"/>
            <family val="2"/>
            <charset val="238"/>
          </rPr>
          <t>Mika:</t>
        </r>
        <r>
          <rPr>
            <sz val="9"/>
            <color indexed="81"/>
            <rFont val="Tahoma"/>
            <family val="2"/>
            <charset val="238"/>
          </rPr>
          <t xml:space="preserve">
autocad letna 700 eur 3D rhino 1000 eur</t>
        </r>
      </text>
    </comment>
    <comment ref="C43" authorId="0" shapeId="0" xr:uid="{00000000-0006-0000-0500-000004000000}">
      <text>
        <r>
          <rPr>
            <b/>
            <sz val="8"/>
            <color indexed="81"/>
            <rFont val="Tahoma"/>
            <family val="2"/>
            <charset val="238"/>
          </rPr>
          <t>Mika:</t>
        </r>
        <r>
          <rPr>
            <sz val="8"/>
            <color indexed="81"/>
            <rFont val="Tahoma"/>
            <family val="2"/>
            <charset val="238"/>
          </rPr>
          <t xml:space="preserve">
povprečna ura cene biroja</t>
        </r>
      </text>
    </comment>
  </commentList>
</comments>
</file>

<file path=xl/sharedStrings.xml><?xml version="1.0" encoding="utf-8"?>
<sst xmlns="http://schemas.openxmlformats.org/spreadsheetml/2006/main" count="679" uniqueCount="357">
  <si>
    <t>ARHITEKTURA</t>
  </si>
  <si>
    <t>IDZ</t>
  </si>
  <si>
    <t>IDP</t>
  </si>
  <si>
    <t>PZI</t>
  </si>
  <si>
    <t>PID</t>
  </si>
  <si>
    <t>skupaj PD</t>
  </si>
  <si>
    <t>SKUPAJ</t>
  </si>
  <si>
    <t>SKUPAJ PROJEKT</t>
  </si>
  <si>
    <t>objekt</t>
  </si>
  <si>
    <t>datum</t>
  </si>
  <si>
    <t>ponudnik</t>
  </si>
  <si>
    <t>KONSTRUKCIJE</t>
  </si>
  <si>
    <t>STROJNE INSTALACIJE</t>
  </si>
  <si>
    <t>ELEKTRO INSTALACIJE</t>
  </si>
  <si>
    <t>INVESTICIJA</t>
  </si>
  <si>
    <t>m2</t>
  </si>
  <si>
    <t>ZUNANJA UREDITEV</t>
  </si>
  <si>
    <t>NOTRANJA OPREMA</t>
  </si>
  <si>
    <t>POŽAR</t>
  </si>
  <si>
    <t>HRUP</t>
  </si>
  <si>
    <t>DRUGO</t>
  </si>
  <si>
    <t>naročnik</t>
  </si>
  <si>
    <t>IG</t>
  </si>
  <si>
    <t>TEHNOLOŠKI NAČRTI</t>
  </si>
  <si>
    <t>IS</t>
  </si>
  <si>
    <t>IE</t>
  </si>
  <si>
    <t>ITZ</t>
  </si>
  <si>
    <t>TOPLOTNA ZAŠČITA</t>
  </si>
  <si>
    <t>IZH</t>
  </si>
  <si>
    <t>IVP</t>
  </si>
  <si>
    <t>VRSTNE HIŠE</t>
  </si>
  <si>
    <t>600-800</t>
  </si>
  <si>
    <t>GO</t>
  </si>
  <si>
    <t>SI</t>
  </si>
  <si>
    <t>EI</t>
  </si>
  <si>
    <t>OST</t>
  </si>
  <si>
    <t>GOI</t>
  </si>
  <si>
    <t>800-1.200</t>
  </si>
  <si>
    <t>1.200-1.800</t>
  </si>
  <si>
    <t>700-1.100</t>
  </si>
  <si>
    <t>700-1.000</t>
  </si>
  <si>
    <t>1.100-1.600</t>
  </si>
  <si>
    <t>POVRŠINA</t>
  </si>
  <si>
    <t>VREDNOST INVESTICIJE GOI</t>
  </si>
  <si>
    <t>STOPNJE TEŽAVNOSTI</t>
  </si>
  <si>
    <t>EUR/m2 BEP</t>
  </si>
  <si>
    <t>EUR/m2</t>
  </si>
  <si>
    <t>POSLOVNI OBJEKT</t>
  </si>
  <si>
    <t>BOLNICA</t>
  </si>
  <si>
    <t>OSNOVNA ŠOLA</t>
  </si>
  <si>
    <t>SREDNJA ŠOLA</t>
  </si>
  <si>
    <t>OTROŠKI VRTEC</t>
  </si>
  <si>
    <t>ŠPORTNA DVORANA</t>
  </si>
  <si>
    <t>ENODRUŽINSKA HIŠA</t>
  </si>
  <si>
    <t>VEČSTANOVANJSKI OBJEKT</t>
  </si>
  <si>
    <t>HOTEL</t>
  </si>
  <si>
    <t>INDUSTRIJSKI OBJEKT</t>
  </si>
  <si>
    <t>I RAZRED</t>
  </si>
  <si>
    <t>III RAZRED</t>
  </si>
  <si>
    <t>V RAZRED</t>
  </si>
  <si>
    <t>VRSTA INVESTICIJSKEGA STROŠKA</t>
  </si>
  <si>
    <t>VREDNOST DEL</t>
  </si>
  <si>
    <t>% INVESTICIJE</t>
  </si>
  <si>
    <t>POSNETEK OBSTOJEČEGA STANJA</t>
  </si>
  <si>
    <t>AKUSTIKA PROSTOROV</t>
  </si>
  <si>
    <t>ODGOVORNO VODENJE</t>
  </si>
  <si>
    <t>PNG</t>
  </si>
  <si>
    <t>STAVBA (GOI)</t>
  </si>
  <si>
    <t>VRSTA OBJEKTA</t>
  </si>
  <si>
    <t>120–250</t>
  </si>
  <si>
    <t>60–120</t>
  </si>
  <si>
    <t>40–60</t>
  </si>
  <si>
    <t>NEZAHTEVNA OPREMA</t>
  </si>
  <si>
    <t>ZAHTEVNA OPREMA</t>
  </si>
  <si>
    <t>ZELO ZAHTEVNA OPREMA</t>
  </si>
  <si>
    <t>100–200</t>
  </si>
  <si>
    <t>400–600</t>
  </si>
  <si>
    <t>200–400</t>
  </si>
  <si>
    <t>IZU</t>
  </si>
  <si>
    <t>IOP</t>
  </si>
  <si>
    <t>FAZNOST</t>
  </si>
  <si>
    <t>IDZ-IDP-PGD-PZI</t>
  </si>
  <si>
    <t>IDZ-PGD-PZI</t>
  </si>
  <si>
    <t>IZRAČUN VREDNOSTI PROJEKTANTSKIH STORITEV</t>
  </si>
  <si>
    <t>interaktivni program za izračun vrednosti projektantskih storitev</t>
  </si>
  <si>
    <t>IA</t>
  </si>
  <si>
    <t>NGGO</t>
  </si>
  <si>
    <t>NAČRT ODSTRANJEVALNIH DEL</t>
  </si>
  <si>
    <t>% investicije</t>
  </si>
  <si>
    <t>DA</t>
  </si>
  <si>
    <t>NE</t>
  </si>
  <si>
    <t>I-II RAZRED</t>
  </si>
  <si>
    <t>II-III RAZRED</t>
  </si>
  <si>
    <t>III-IV RAZRED</t>
  </si>
  <si>
    <t>IV-V RAZRED</t>
  </si>
  <si>
    <t>FAZE PROJEKTA</t>
  </si>
  <si>
    <t>INVESTICIJSKI STROŠKI STAVBE</t>
  </si>
  <si>
    <t>INVESTICIJSKI STROŠKI NOTRANJA OPREMA</t>
  </si>
  <si>
    <t>ODSTOTEK GLEDE NA VREDNOST INVESTICIJE ZA POSAMEZNE NAČRTE</t>
  </si>
  <si>
    <t>GRADBENE KONSTRUKCIJE</t>
  </si>
  <si>
    <t>INŠTALACIJE</t>
  </si>
  <si>
    <t>% cene projekta</t>
  </si>
  <si>
    <t>MAX ŠTEVILO NU</t>
  </si>
  <si>
    <t>Informativni izračun plače brez dodatne dolajšave</t>
  </si>
  <si>
    <t>Odgovorni projektant / Cena ure v biroju</t>
  </si>
  <si>
    <t>Razmerje plača neto/bruto-bruto</t>
  </si>
  <si>
    <t>BRUTO</t>
  </si>
  <si>
    <t>Plača  (neto povprečna plača/mesec)</t>
  </si>
  <si>
    <t>Stroški / leto</t>
  </si>
  <si>
    <t>1.</t>
  </si>
  <si>
    <t>Plača s prispevki (bruto-bruto)</t>
  </si>
  <si>
    <t>2.</t>
  </si>
  <si>
    <t>Prehrana</t>
  </si>
  <si>
    <t>3.</t>
  </si>
  <si>
    <t>Prevoz na delo</t>
  </si>
  <si>
    <t>6.</t>
  </si>
  <si>
    <t>Regres</t>
  </si>
  <si>
    <t>8.</t>
  </si>
  <si>
    <t>Potni stroški (kilometrina - 1500 km)</t>
  </si>
  <si>
    <t>9.</t>
  </si>
  <si>
    <t>Potni stroški (dnevnice - 3/mesec)</t>
  </si>
  <si>
    <t>10.</t>
  </si>
  <si>
    <t>Računovodske storitve</t>
  </si>
  <si>
    <t>11.</t>
  </si>
  <si>
    <t>Stroški plačilnega prometa</t>
  </si>
  <si>
    <t>12.</t>
  </si>
  <si>
    <t>Članarine</t>
  </si>
  <si>
    <t>13.</t>
  </si>
  <si>
    <t>Zavarovanje - minimalno zakonsko</t>
  </si>
  <si>
    <t>14.</t>
  </si>
  <si>
    <t>Obratovalni stroški (prostor) (najem mize 100€/mesec x12)</t>
  </si>
  <si>
    <t>15.</t>
  </si>
  <si>
    <t>Stroški čiščenja</t>
  </si>
  <si>
    <t>16.</t>
  </si>
  <si>
    <t>Stroški varovanja</t>
  </si>
  <si>
    <t>17.</t>
  </si>
  <si>
    <t>Telefonski stroški</t>
  </si>
  <si>
    <t>18.</t>
  </si>
  <si>
    <t>Internet</t>
  </si>
  <si>
    <t>19.</t>
  </si>
  <si>
    <t xml:space="preserve">Računalniška strojna oprema </t>
  </si>
  <si>
    <t>20.</t>
  </si>
  <si>
    <t xml:space="preserve">Računalniška programska oprema </t>
  </si>
  <si>
    <t>21.</t>
  </si>
  <si>
    <t>Pisarniški material</t>
  </si>
  <si>
    <t>22.</t>
  </si>
  <si>
    <t>Strokovna literatura + izobraževanje</t>
  </si>
  <si>
    <t>23.</t>
  </si>
  <si>
    <t>Drobni inventar</t>
  </si>
  <si>
    <t>24.</t>
  </si>
  <si>
    <t>Manjša popravila</t>
  </si>
  <si>
    <t>Skupaj</t>
  </si>
  <si>
    <t>Nerazporejena sredstva - dobiček (5%)</t>
  </si>
  <si>
    <t>Davek na dobiček (25%)</t>
  </si>
  <si>
    <t>Št. efektivnih ur/leto</t>
  </si>
  <si>
    <t>Št. efektivnih ur za obračun</t>
  </si>
  <si>
    <t>Cena projektantske ure</t>
  </si>
  <si>
    <t>Št. ur / delovni dan</t>
  </si>
  <si>
    <t>Tedenski fond delovnih ur</t>
  </si>
  <si>
    <t>Mesečni fond delovnih ur (povprečni)</t>
  </si>
  <si>
    <t>Letni fond delovnih ur</t>
  </si>
  <si>
    <t>Letni fond delovnih dni</t>
  </si>
  <si>
    <t>Število dela prostih dni (prazniki)</t>
  </si>
  <si>
    <t>Letni dopust (dni)</t>
  </si>
  <si>
    <t>Bolniška odsotnost (dni/leto)</t>
  </si>
  <si>
    <t>Izobraževanje (dni/leto)</t>
  </si>
  <si>
    <t>Skupaj efektivnih ur / leto</t>
  </si>
  <si>
    <t>Potni stroški - kilometrina (€/km)</t>
  </si>
  <si>
    <t>Prehrana (€/dan)</t>
  </si>
  <si>
    <t>prevoz na delo/z dela na km</t>
  </si>
  <si>
    <t xml:space="preserve">Dnevnice za službeno potovanje v Sloveniji: </t>
  </si>
  <si>
    <t>PRESOJA VPLIVOV NA OKOLJE</t>
  </si>
  <si>
    <t>IZRAČUN OSNOVNIH VREDNOSTI PROJEKTANTSKIH STORITEV</t>
  </si>
  <si>
    <t xml:space="preserve">ADRENALINSKI PARK </t>
  </si>
  <si>
    <t xml:space="preserve">GOLF IGRIŠČE </t>
  </si>
  <si>
    <t xml:space="preserve">IGRIŠČE Z RAZNOVRSTNIM PROGRAMOM </t>
  </si>
  <si>
    <t xml:space="preserve">IGRIŠČE ZA IGRE Z ŽOGO </t>
  </si>
  <si>
    <t xml:space="preserve">KOMERCIALNI KOMPLEKS ŠPORTNIH IGRIŠČ IN NAPRAV </t>
  </si>
  <si>
    <t xml:space="preserve">KRAJINSKA UREDITEV OB OBJEKTIH </t>
  </si>
  <si>
    <t xml:space="preserve">KRAJINSKA UREDITEV OB VODOTOKIH, PLAZIŠČIH </t>
  </si>
  <si>
    <t xml:space="preserve">KRAJINSKA UREDITEV V MESTIH </t>
  </si>
  <si>
    <t xml:space="preserve">OZELENITEV BREZ POSEBNE OPREME </t>
  </si>
  <si>
    <t xml:space="preserve">PARK </t>
  </si>
  <si>
    <t xml:space="preserve">PARKIRIŠČE </t>
  </si>
  <si>
    <t xml:space="preserve">OBMOČJE ZA PEŠCE </t>
  </si>
  <si>
    <t xml:space="preserve">PEŠPOT, KOLESARSKA POT </t>
  </si>
  <si>
    <t xml:space="preserve">POKOPALIŠČE </t>
  </si>
  <si>
    <t xml:space="preserve">POVRŠINA ZA TABORJENJE </t>
  </si>
  <si>
    <t xml:space="preserve">REKREACIJSKO OBMOČJE </t>
  </si>
  <si>
    <t xml:space="preserve">SMUČIŠČE IN SANKALIŠČE </t>
  </si>
  <si>
    <t xml:space="preserve">SPOMENIŠKI KOMPLEKS </t>
  </si>
  <si>
    <t xml:space="preserve">ŠPORTNE NAPRAVE, IGRIŠČE, STADION IN KOPALIŠČE NA PROSTEM </t>
  </si>
  <si>
    <t xml:space="preserve">ŠPORTNO IGRIŠČE </t>
  </si>
  <si>
    <t xml:space="preserve">ŠPORTNO IGRIŠČE BREZ TEHNIČNIH UREDITEV </t>
  </si>
  <si>
    <t xml:space="preserve">TEMATSKI PARK IN VRT (BOTANIČNI, ŽIVALSKI, ARBORETUM ...) </t>
  </si>
  <si>
    <t xml:space="preserve">TRG </t>
  </si>
  <si>
    <t xml:space="preserve">TRŽNICA </t>
  </si>
  <si>
    <t xml:space="preserve">VRT </t>
  </si>
  <si>
    <t xml:space="preserve">ZAHTEVNEJŠA ZAŠČITA BIOTOPOV </t>
  </si>
  <si>
    <t xml:space="preserve">ZASADITEV V ODPRTI KRAJINI, NASAD, TRATA </t>
  </si>
  <si>
    <t xml:space="preserve">ZELENE POVRŠINE ENOSTAVNE IZVEDBE OKROG STAVB IN OB PROMETNICAH </t>
  </si>
  <si>
    <t xml:space="preserve">ZUNANJI PROSTOR OB VEČSTANOVANJSKIH OBJEKTIH </t>
  </si>
  <si>
    <t xml:space="preserve">ZUNANJI PROSTOR OSTALIH JAVNIH OBJEKTOV </t>
  </si>
  <si>
    <t xml:space="preserve">ZUNANJI PROSTOR ŠOL IN VRTCEV </t>
  </si>
  <si>
    <t>PRIPOROČENA VREDNOST EUR/m2 BEP</t>
  </si>
  <si>
    <t>PRENOVA</t>
  </si>
  <si>
    <t>IDZ-PZI</t>
  </si>
  <si>
    <t>DODATEK ZA PRENOVO</t>
  </si>
  <si>
    <t>RAZNO</t>
  </si>
  <si>
    <t>OSNOVNA VREDNOST NAČRTA</t>
  </si>
  <si>
    <t>Večja odstopanja od minimalnih cen ne morejo zagotoviti niti kakovostne izvedbe projektne dokumentacije niti kakovostne izvedbe samega projekta.</t>
  </si>
  <si>
    <t>&gt; v stolpcih od N naprej se prikažejo izhodiščne vrednosti osnovnih načrtov in elaboratov.</t>
  </si>
  <si>
    <t>Cene ne vsebujejo DDV.</t>
  </si>
  <si>
    <t>IDZ-IDP-PZI</t>
  </si>
  <si>
    <t>Prevoz na delo (€/dan) - 10 km</t>
  </si>
  <si>
    <t>nad 12 do 24 ur</t>
  </si>
  <si>
    <t>nad 8 do 12 ur</t>
  </si>
  <si>
    <t xml:space="preserve">nad 6 do 8 ur </t>
  </si>
  <si>
    <t>VODOVODNI PRIKLJUČEK</t>
  </si>
  <si>
    <t>ELEKTRO PRIKLJUČEK</t>
  </si>
  <si>
    <t>Gradnja enostanovanjskega objekta</t>
  </si>
  <si>
    <t>IZP</t>
  </si>
  <si>
    <t>DGD</t>
  </si>
  <si>
    <t>% projekta</t>
  </si>
  <si>
    <t>GRADBENO DOVOLJENJE</t>
  </si>
  <si>
    <t>KANALIZACIJSKI PRIKLJUČEK</t>
  </si>
  <si>
    <t>IDEJNA ZASNOVA</t>
  </si>
  <si>
    <t>IDEJNA ZASNOVA ZA PRIDOBIVANJE PROJEKTNIH POGOJEV</t>
  </si>
  <si>
    <t>IDEJNI PROJEKT</t>
  </si>
  <si>
    <t>PROJEKT ZA PRIDOBIVANJE MNENJ IN GRADBENEGA DOVOLJENJA</t>
  </si>
  <si>
    <t>PROJEKT ZA IZVEDBO</t>
  </si>
  <si>
    <t>PRIKAZ IZVEDENIH DEL</t>
  </si>
  <si>
    <t>PRISOTNOST NA GRADBIŠČU</t>
  </si>
  <si>
    <t>ARHIGRAM 4</t>
  </si>
  <si>
    <t>Janez Novak</t>
  </si>
  <si>
    <t>ARHITEKT d.o.o.</t>
  </si>
  <si>
    <t>DUP</t>
  </si>
  <si>
    <t>PROJEKTNO UPRAVNA DOKUMENTACIJA</t>
  </si>
  <si>
    <t>UPORABA BIM PROCESOV</t>
  </si>
  <si>
    <t>DODATEK ZA BIM</t>
  </si>
  <si>
    <t>ARHITEKTURA, INŠTALACIJE, NOTRANJA OPREMA</t>
  </si>
  <si>
    <t>NU</t>
  </si>
  <si>
    <t>STOLPEC</t>
  </si>
  <si>
    <t>OSNOVNA VREDNOST</t>
  </si>
  <si>
    <t>VRSTICA</t>
  </si>
  <si>
    <t>IZHODIŠČNA VRED. INV</t>
  </si>
  <si>
    <t>PRIMERJALNA VRSTICA</t>
  </si>
  <si>
    <t>PRIMERJALNA VREDNOST</t>
  </si>
  <si>
    <t>PRIMERJALNA VRE. INV.</t>
  </si>
  <si>
    <t>ŠTEVILO NU ZA IZDELAVO NAČRTOV NOTRANJE OPREME</t>
  </si>
  <si>
    <t>ŠTEVILO NU ZA IZDELAVO NAČRTOV ZUNANJE UREDITVE</t>
  </si>
  <si>
    <t>SKUPNI DODATEK</t>
  </si>
  <si>
    <t>VKLJUČEVANJE IZDELOVALCEV DRUGIH NAČRTOV V POGODBO</t>
  </si>
  <si>
    <t>UREDITEV POVRŠIN</t>
  </si>
  <si>
    <t>INVESTICIJSKI STROŠKI UREDITEV POVRŠIN</t>
  </si>
  <si>
    <t>DODATEK PUD</t>
  </si>
  <si>
    <t>PUD</t>
  </si>
  <si>
    <t>PTD</t>
  </si>
  <si>
    <t>PROJEKTNO TEHNIČNA DOKUMENTACIJA</t>
  </si>
  <si>
    <t>skupaj</t>
  </si>
  <si>
    <t>UPORABLJENE KRATICE</t>
  </si>
  <si>
    <t>DRUGI PRIBITKI</t>
  </si>
  <si>
    <t>PODALJŠANJE GARANCIJE</t>
  </si>
  <si>
    <t>KRAJŠI ROK IZDELAVE</t>
  </si>
  <si>
    <t>FINANČNO ZAVAROVANJE ZA DOBRO IZVEDBO POGODBENIH DEL</t>
  </si>
  <si>
    <t>DODATNO ZAVAROVANJE PROJEKTANTSKE ODGOVORNOSTI</t>
  </si>
  <si>
    <t>Slovenska 1, 1000 Ljubljana</t>
  </si>
  <si>
    <t>4.</t>
  </si>
  <si>
    <t>5.</t>
  </si>
  <si>
    <t>7.</t>
  </si>
  <si>
    <t>IZBOR VRSTE OBJEKTA</t>
  </si>
  <si>
    <t>VNOS POVRŠINE</t>
  </si>
  <si>
    <t>IZBEREMO STOPNJO TEŽAVNOSTI</t>
  </si>
  <si>
    <t>DOLOČIMO KOREKCIJSKE FAKTORJE</t>
  </si>
  <si>
    <t>OPCIJSKO: VPIŠEMO VREDNOSTI DODATNIH NAČRTOV ALI ELABORATOV</t>
  </si>
  <si>
    <t>NATISNEMO</t>
  </si>
  <si>
    <t>O ARHIGRAMU</t>
  </si>
  <si>
    <t>Podatke vpisujemo le v zavihku "EUR", od koder se samodejno prenesejo v zavihek NU. Polja, v katera uporabnik vpisuje podatke, so označena s svetlo rdečo barvo.</t>
  </si>
  <si>
    <t>- iz menija v vrstici 9 izberemo vrsto objekta</t>
  </si>
  <si>
    <t>VNOS IZBRANE VREDNOSTI EUR/m2</t>
  </si>
  <si>
    <t>- v vrstico 12 vpišemo bruto površino objekta</t>
  </si>
  <si>
    <r>
      <t>- v vrstico 14 vpišemo vrednost EUR/m</t>
    </r>
    <r>
      <rPr>
        <vertAlign val="superscript"/>
        <sz val="12"/>
        <color rgb="FF000000"/>
        <rFont val="Bahnschrift Light SemiCondensed"/>
        <family val="2"/>
        <charset val="238"/>
      </rPr>
      <t>2</t>
    </r>
    <r>
      <rPr>
        <sz val="12"/>
        <color rgb="FF000000"/>
        <rFont val="Bahnschrift Light SemiCondensed"/>
        <family val="2"/>
        <charset val="238"/>
      </rPr>
      <t>, skladno s predlagano vrednostjo</t>
    </r>
  </si>
  <si>
    <t>&gt; v vrsticah 24 - 27 se prikaže razporeditev stroškov gradnje po posameznih sklopih (GO, SI, EI, OST) glede na izbrano vrsto objekta</t>
  </si>
  <si>
    <t>- za vsak načrt posebej izberemo stopnjo težavnosti, skladno z opisom, ki se pojavi v opombah. Najvišja stopnja pomeni osnovno izračunano vrednost, nižje stopnje pa to vrednost znižujejo.</t>
  </si>
  <si>
    <t>- v polju K 6 po potrebi izberemo opcijo PRENOVA</t>
  </si>
  <si>
    <t>- v polju K 7 po potrebi izberemo opcijo UPORABA BIM PROCESOV</t>
  </si>
  <si>
    <t>- v polju K 8 po potrebi izberemo opcijo VKLJUČEVANJE IZDELOVALCEV DRUGIH NAČRTOV V POGODBO</t>
  </si>
  <si>
    <t>- v polju K 5 po potrebi izberemo opcijo PID</t>
  </si>
  <si>
    <t>- v polju K 4 po potrebi izberemo opcijo GRADBENO DOVOLJENJE</t>
  </si>
  <si>
    <t>&gt; v vrsticah od 29 naprej se prikažejo vrednosti posameznih faz za vse načrte glede na izbor korekcijskih faktorjev.</t>
  </si>
  <si>
    <t>- v izračunu so zajete le vrednosti projektno upravne dokumentacije ter osnovnih načrtov projektno tehnične dokumentacije, saj so vrednosti drugih načrtov, študij in elaboratov odvisne od mnogih dejavnikov, ki jih je nemogoče zajeti v enačbo.</t>
  </si>
  <si>
    <t>OPCIJSKO: DOLOČIMO DODATNE PRIBITKE</t>
  </si>
  <si>
    <t>- v polju F 74 po potrebi določimo procent pribitka za PODALJŠANJE GARANCIJE</t>
  </si>
  <si>
    <t>- v polju F 75 po potrebi določimo procent pribitka za KRAJŠI ROK IZDELAVE</t>
  </si>
  <si>
    <t>- v polju F 76 po potrebi določimo procent pribitka za FINANČNO ZAVAROVANJE ZA DOBRO IZVEDBO POGODBENIH DEL</t>
  </si>
  <si>
    <t>- v polju F 77 po potrebi določimo procent pribitka za DODATNO ZAVAROVANJE PROJEKTANTSKE ODGOVORNOSTI</t>
  </si>
  <si>
    <t>&gt; v poljih od G 74 do G 77 se prikažejo vrednosti posameznih pribitkov.</t>
  </si>
  <si>
    <t>&gt; vrednosti dodatnih načrtov se prištejejo vrednostim osnovnih načrtov.</t>
  </si>
  <si>
    <t>Delovna skupina za pripravo izračuna Arhigram 4:</t>
  </si>
  <si>
    <t>ZAPS: mag. Andrej Goljar, Damjan Černe, Mika Cimolini
IZS: Andrej Pogačnik, mag. Borut Glavnik, Mitja Lenassi, mag. Aleš Glavnik, mag. Barbara Škraba Flis, 
PeG podatkovniki d.o.o.: Matej Vilhar</t>
  </si>
  <si>
    <t>Delovna skupina za pripravo publikacije Arhigram 2:</t>
  </si>
  <si>
    <t>IZRAČUN V EUR</t>
  </si>
  <si>
    <t>IZRAČUN V NU</t>
  </si>
  <si>
    <t>PODATKI</t>
  </si>
  <si>
    <t>IZRAČUN VREDNOSTI NU</t>
  </si>
  <si>
    <t>RAZLIKE GLEDE NA ARHIGRAM 3</t>
  </si>
  <si>
    <t>KOREKCIJSKI FAKTORJI</t>
  </si>
  <si>
    <t>PRENOVA
Izbor zviša vrednost in število NU za izdelavo PUD ter PTD za osnovne načrte za 20 %.</t>
  </si>
  <si>
    <t xml:space="preserve">UPORABA BIM PROCESOV
Izbor zviša vrednost in število NU za izdelavo PTD za osnovne načrte za 20 %.
</t>
  </si>
  <si>
    <t>DODATNI PRIBITKI</t>
  </si>
  <si>
    <t xml:space="preserve">Dodatni pribitki dvigujejo skupno vrednost izdelave projektne dokumentacije in jih določijo projektanti sami tako da v označena polja vpišejo odstotne vrednosti.
</t>
  </si>
  <si>
    <t>KRATKA NAVODILA</t>
  </si>
  <si>
    <r>
      <t>&gt; v vrstici 13 se avtomatično prikažejo priporočene vrednosti eur/m</t>
    </r>
    <r>
      <rPr>
        <vertAlign val="superscript"/>
        <sz val="12"/>
        <color theme="1" tint="0.499984740745262"/>
        <rFont val="Bahnschrift Light SemiCondensed"/>
        <family val="2"/>
        <charset val="238"/>
      </rPr>
      <t>2</t>
    </r>
    <r>
      <rPr>
        <sz val="12"/>
        <color theme="1" tint="0.499984740745262"/>
        <rFont val="Bahnschrift Light SemiCondensed"/>
        <family val="2"/>
        <charset val="238"/>
      </rPr>
      <t xml:space="preserve"> za izbrano vrsto objekta</t>
    </r>
  </si>
  <si>
    <t xml:space="preserve">PID
Izbor te možnosti vklopi izračun vrednosti in števila NU za izdelavo Prikaza izvedenih del (PID). PID je osnova za pridobitev uporabnega dovoljenja, ki ga je potrebno dobiti za vse vrste gradnje, za katere je potrebno pridobiti gradbeno dovoljenje.
</t>
  </si>
  <si>
    <t xml:space="preserve">VKLJUČEVANJE IZDELOVALCEV DRUGIH NAČRTOV V POGODBO*
Izbor zviša vrednost in število NU za izdelavo PTD za osnovne načrte za 8 %.
</t>
  </si>
  <si>
    <t>OPOMBE:</t>
  </si>
  <si>
    <t xml:space="preserve">
* VKLJUČEVANJE IZDELOVALCEV DRUGIH NAČRTOV V POGODBO
Investitor lahko za projektantske storitve sklene enotno pogodbo, ki poleg načrta arhitekture vsebuje tudi vse druge potrebne načrte, kot so gradbene konstrukcije, električne in strojne inštalacije ter druge načrte, elaborate in študije, lahko pa z vsakim posameznim izdelovalcev sklene ločeno pogodbo. Prakse glede tega so v različnih državah različne.
Običajna praksa pri nas je, da projektant arhitekture nastopa kot nosilec posla, izdelovalci ostalih načrtov pa kot podizvajalci arhitekta. S tem projektant arhitekture prevzame tudi poslovna tveganja, ki se tičejo tveganja neplačil s strani investitorja (arhitekt bo kljub neplačilu dolžan podizvajalcem plačilo njihovih deležev) in tveganja slabo opravljenega dela podizvajalcev (v primeru razdrtja pogodbe s strani investitorjev po krivdi enega izmed podizvajalcev bo arhitekt ostal dolžan plačilo ostalim podizvajalcem, ob tem pa bo ostal tudi brez plačila za lastno delo). 
Ob tem pa pogodbeni prevzem vseh podizvajalcev prinaša tudi dodatna režijska dela zaradi iskanja podizvajalcev in sklepanja pogodb z njimi. Poudariti je potrebno, da pri tem ne gre za koordinacijo in vodenje projekta – ta bi bila potrebna tudi v primeru, da ima naročnik z vsakim projektantom sklenjeno ločeno pogodbo.
V primerjavi z oddajo ločenih naročil izdelovalcem posameznih načrtov tveganja in dodatna režijska dela pri enotni pogodbi arhitekt prevzame od investitorja. Zato je smiselno, da se vključevanje izdelovalcev drugih načrtov kot podizvajalcev tudi zaračuna. Oddaja enotnega naročila izdelave projektne dokumentacije z vsemi podizvajalci je podobna oddaji naročila za gradnjo hiše na ključ, ki je pač dražja.
V Zbornici za arhitekturo in prostor Slovenije ocenjujemo, da je tveganja in dodatna dela zaradi vključitve izdelovalcev vseh načrtov, elaboratov in študij v osnovno pogodbo za projektiranje smiselno zaračunati kot dodatek 8% na celotno vrednost pogodbe. 
</t>
  </si>
  <si>
    <t>SKUPAJ Z UPOŠTEVANIMI PRIBITKI</t>
  </si>
  <si>
    <t>Regres (2018) €, minimalen ZDR-1</t>
  </si>
  <si>
    <t>KOLOFON</t>
  </si>
  <si>
    <t>NAČIN IZRAČUNAVANJA</t>
  </si>
  <si>
    <t>VREDNOST V EUR Z UPOŠTEVANJEM IZRAČUNANE VREDNOSTI NU</t>
  </si>
  <si>
    <t>Vrednosti se nanašajo na letne stroške poslovanja.</t>
  </si>
  <si>
    <t>ZAPS: Mima Suhadolc, Tomaž Krištof, Vlado Krajcar, Slavko Gabrovšek, Sergej Hiti, Mika Cimolini
DAL: Boris Briški, Maja Ivanič</t>
  </si>
  <si>
    <t>Arhigram 4 je pripravljen na podlagi priročnika Arhigram 2 -  Poenostavljena merila za vrednotenje projektantskih storitev, ki sta ga pripravili Zbornica za arhitekturo in prostor Slovenije ter Inženirska zbornica Slovenije, ter na podlagi raziskave višine cen projektne dokumentacije, ki je bila pripravljena Društvu arhitektov Ljubljana v letih 2015-2016.</t>
  </si>
  <si>
    <t>Arhigram 4.0 beta je programsko orodje za izračunavanje priporočenih vrednosti projektantskih storitev in je usklajen z Gradbenim zakonom in Pravilnikom o podrobnejši vsebini dokumentacije in obrazcih, povezanih z graditvijo objektov. Gre za testno verzijo, ki bo v pomoč projektantom v premostitvenem obdobju do uveljavitve Pravil stroke, ko bo pripravljena nova posodobitev, v kateri bodo poleg projektiranja, zajete tudi vse druge storitve, ki jih opravljajo projektanti.</t>
  </si>
  <si>
    <t>Arhigram 4 izračunava vrednosti projektantskih storitev na dva načina. V zavihku  »EUR« (rdeča barva) se izračunavajo vrednosti projektantskih storitev v EUR, v zavihku »NU« (modra barva) pa število potrebnih normiranih ur (NU) za izvedbo posameznih projektantskih storitev. Norma ure so osnova za izračunavanja minimalnih vrednosti storitev, izračun norma ur je namreč merodajen pri zagotavljanju kakovostne izvedbe ponujenih storitev. Član ZAPS je ponudbo dolžan oblikovati tako, da sta iz nje razvidna potrebno število normiranih ur in vrednost normirane ure v evrih. Ponudbo, ki od priporočenega števila normiranih ur odstopa navzdol za več kot 30 %, je treba obravnavati kot neobičajno nizko ponudbo, pri kateri se ne upoštevajo pravila stroke in ki ne zagotavlja izdelave projektne dokumentacije v skladu z dobro projektantsko prakso. ZAPS uporablja ta pripomoček za izračun cene projektantskih storitev, kadar je zaprošen za strokovno mnenje. Izračun v evrih je zgolj informativne narave in lahko služi kot orientacija projektantu. Izračun, ki temelji na odstotku od investicije v evrih, ima namreč drugačno metodologijo kot izračun potrebnih norma ur za določeno storitev, zato se vrednosti izračuna lahko bistveno razlikujeta.</t>
  </si>
  <si>
    <t>Vrednosti v EUR se izračunavajo glede na izbor vrste objekta (enodružinska hiša, vrtec,…),  velikost objekta ter glede na izbor težavnosti vsakega glavnega načrta posebej. Osnova za izračun vrednosti posameznega načrta je višina investicijskih stroškov za vsako posamezno vrsto načrta (arhitektura, krajinska arhitektura, gradbene konstrukcije, elektro in strojne inštalacije). Vrednosti projektantskih storitev so določene v odstotkih glede na izračunane investicijske stroške za vsako posamezno vrsto načrta. Odstotni deleži so določeni na podlagi večletnih izkušenj in so prikazani v grafih na zavihku »PODATKI«.</t>
  </si>
  <si>
    <t xml:space="preserve">Izračun NU je pripravljen na podlagi publikacije Arhigram 2 – poenostavljena merila za vrednotenje projektantskih storitev (ZAPS, 2012). Iz publikacije so bile za izračun števila NU za osnovne načrte povzete računske formule za izračunavanje NU, ne pa tudi tabelarične vrednosti in grafični prikazi, ki prikazujejo drugačno število NU, kot ga dajejo izračuni po enačbah.
</t>
  </si>
  <si>
    <t xml:space="preserve">Zavihek »PODATKI« predstavlja osnovo, po kateri se izračunavata prva dva zavihka. Za uporabnike je zavihek sicer zaklenjen, omogoča pa vpogled v »ozadje« izračuna. Prednost takšnega načina je, da je mogoče vse vrednosti, ki vplivajo na izračun, na enostaven način spreminjati, kar omogoča tudi enostavne korekcije v bodoče. V spodnjem delu zavihka so prikazane tudi uporabljene krivulje za vse glavne načrte.
</t>
  </si>
  <si>
    <t>Zavihek je dodan izračunu kot pomoč projektantom za lažje določanje vrednosti njihove NU. Vrednost normirane ure si izračuna vsak ponudnik sam glede na značilnosti svojega poslovanja.</t>
  </si>
  <si>
    <t xml:space="preserve">Zaradi usklajevanja z novo zakonodajo je bil izračun vrednosti za izdelavo vodilne mape preimenovan v »Projektno upravna dokumentacija« (PUD). Spremenjeno je bilo poimenovanje glavnih faz priprave dokumentacije in s tem tudi razporeditve odstotnih deležev za posamezno fazo. Usklajeno je bilo poimenovanje vseh sestavnih delov in faz. Poleg uskladitve z novo zakonodajo so bili dodani korekcijski faktorji, opisani v nadaljevanju. Odstotne vrednosti za izračun storitev so ostale nespremenjene, z izjemo izračuna vrednosti načrtov notranje opreme, kjer so bili odstotni deleži zvišani. Vsi podatki za izračun vrednosti v EUR so prikazani na zavihku »PODATKI«. </t>
  </si>
  <si>
    <t xml:space="preserve">GRADBENO DOVOLJENJE
Izbor te možnosti vklopi izračun vrednosti in števila NU za izdelavo Projektno upravne dokumentacije (PUD).
</t>
  </si>
  <si>
    <t>Pridobivanje posla (20 % št. efektivnih ur)</t>
  </si>
  <si>
    <t>popravljena enačba v R12</t>
  </si>
  <si>
    <t>Kalkulacija stroškov za določitev vrednosti projektantske obračunske ure (2019)</t>
  </si>
  <si>
    <t>IA&lt;2.500.000</t>
  </si>
  <si>
    <t>IA&gt;2.500.000</t>
  </si>
  <si>
    <t>IG&lt;250.000</t>
  </si>
  <si>
    <t>IG&gt;250.000</t>
  </si>
  <si>
    <t>IS&lt;250.000</t>
  </si>
  <si>
    <t>IS&gt;250.000</t>
  </si>
  <si>
    <t>STROJNE, ELEKTRO</t>
  </si>
  <si>
    <t>IA&lt;5.000.000</t>
  </si>
  <si>
    <t>IVP&lt;2.500.000</t>
  </si>
  <si>
    <t>IVP&gt;2.500.000</t>
  </si>
  <si>
    <t>DOKUMENTACIJA ZA DOVOLJEVANJE</t>
  </si>
  <si>
    <t>ID</t>
  </si>
  <si>
    <t>© 2019 ZAPS in DAL, vse pravice pridržane</t>
  </si>
  <si>
    <t>OSNOVNI NAČRTI</t>
  </si>
  <si>
    <t>OSNOVNE ŠTUDIJE IN IZKAZI</t>
  </si>
  <si>
    <t>DODATNI NAČRTI IN ELABORATI</t>
  </si>
  <si>
    <t>SKUPAJ PROJEKTNA DOKUMENTACIJA</t>
  </si>
  <si>
    <t xml:space="preserve">Pripombe in predloge pošljite na email naslov zaps@zaps.si. Prejete pripombe bomo preučili in smiselno upoštevali. </t>
  </si>
  <si>
    <t>Izračun vrednosti NU deluje za investicije do 70.000.000 EUR.</t>
  </si>
  <si>
    <t>OKTOBER 2021</t>
  </si>
  <si>
    <t>V 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</si>
</sst>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164" formatCode="_-* #,##0.00\ _€_-;\-* #,##0.00\ _€_-;_-* &quot;-&quot;??\ _€_-;_-@_-"/>
    <numFmt numFmtId="165" formatCode="0.0"/>
    <numFmt numFmtId="166" formatCode="#,##0.0"/>
    <numFmt numFmtId="167" formatCode="#,##0.00\ &quot;€&quot;"/>
    <numFmt numFmtId="168" formatCode="0_ ;[Red]\-0\ "/>
    <numFmt numFmtId="169" formatCode="_-* #,##0\ _€_-;\-* #,##0\ _€_-;_-* &quot;-&quot;??\ _€_-;_-@_-"/>
    <numFmt numFmtId="170" formatCode="_-* #,##0.0\ _€_-;\-* #,##0.0\ _€_-;_-* &quot;-&quot;??\ _€_-;_-@_-"/>
    <numFmt numFmtId="171" formatCode="_-* #,##0\ [$EUR]_-;\-* #,##0\ [$EUR]_-;_-* &quot;-&quot;\ [$EUR]_-;_-@_-"/>
    <numFmt numFmtId="172" formatCode="#,##0_ ;\-#,##0\ "/>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9"/>
      <color indexed="81"/>
      <name val="Tahoma"/>
      <family val="2"/>
      <charset val="238"/>
    </font>
    <font>
      <b/>
      <sz val="9"/>
      <color indexed="81"/>
      <name val="Tahoma"/>
      <family val="2"/>
      <charset val="238"/>
    </font>
    <font>
      <sz val="10"/>
      <name val="Arial"/>
      <family val="2"/>
      <charset val="238"/>
    </font>
    <font>
      <b/>
      <sz val="8"/>
      <color indexed="81"/>
      <name val="Tahoma"/>
      <family val="2"/>
      <charset val="238"/>
    </font>
    <font>
      <sz val="8"/>
      <color indexed="81"/>
      <name val="Tahoma"/>
      <family val="2"/>
      <charset val="238"/>
    </font>
    <font>
      <sz val="11"/>
      <color theme="1"/>
      <name val="Calibri"/>
      <family val="2"/>
      <charset val="238"/>
    </font>
    <font>
      <sz val="10"/>
      <color indexed="81"/>
      <name val="Arial"/>
      <family val="2"/>
      <charset val="238"/>
    </font>
    <font>
      <b/>
      <sz val="10"/>
      <color indexed="81"/>
      <name val="Arial"/>
      <family val="2"/>
      <charset val="238"/>
    </font>
    <font>
      <i/>
      <sz val="10"/>
      <color indexed="81"/>
      <name val="Arial"/>
      <family val="2"/>
      <charset val="238"/>
    </font>
    <font>
      <sz val="10"/>
      <color theme="1"/>
      <name val="Arial"/>
      <family val="2"/>
      <charset val="238"/>
    </font>
    <font>
      <sz val="10"/>
      <color theme="1"/>
      <name val="Calibri"/>
      <family val="2"/>
      <charset val="238"/>
      <scheme val="minor"/>
    </font>
    <font>
      <b/>
      <sz val="10"/>
      <color theme="1"/>
      <name val="Arial"/>
      <family val="2"/>
      <charset val="238"/>
    </font>
    <font>
      <b/>
      <sz val="10"/>
      <color theme="1"/>
      <name val="Calibri"/>
      <family val="2"/>
      <charset val="238"/>
      <scheme val="minor"/>
    </font>
    <font>
      <sz val="14"/>
      <name val="Bahnschrift SemiCondensed"/>
      <family val="2"/>
      <charset val="238"/>
    </font>
    <font>
      <b/>
      <sz val="14"/>
      <name val="Bahnschrift Light SemiCondensed"/>
      <family val="2"/>
      <charset val="238"/>
    </font>
    <font>
      <sz val="14"/>
      <name val="Bahnschrift Light SemiCondensed"/>
      <family val="2"/>
      <charset val="238"/>
    </font>
    <font>
      <sz val="12"/>
      <name val="Bahnschrift Light SemiCondensed"/>
      <family val="2"/>
      <charset val="238"/>
    </font>
    <font>
      <sz val="10"/>
      <name val="Bahnschrift Light SemiCondensed"/>
      <family val="2"/>
      <charset val="238"/>
    </font>
    <font>
      <i/>
      <sz val="12"/>
      <name val="Bahnschrift Light SemiCondensed"/>
      <family val="2"/>
      <charset val="238"/>
    </font>
    <font>
      <b/>
      <sz val="10"/>
      <name val="Bahnschrift Light SemiCondensed"/>
      <family val="2"/>
      <charset val="238"/>
    </font>
    <font>
      <b/>
      <sz val="12"/>
      <name val="Bahnschrift Light SemiCondensed"/>
      <family val="2"/>
      <charset val="238"/>
    </font>
    <font>
      <b/>
      <sz val="14"/>
      <color rgb="FF222222"/>
      <name val="Bahnschrift Light SemiCondensed"/>
      <family val="2"/>
      <charset val="238"/>
    </font>
    <font>
      <sz val="12"/>
      <color rgb="FF808080"/>
      <name val="Bahnschrift Light SemiCondensed"/>
      <family val="2"/>
      <charset val="238"/>
    </font>
    <font>
      <sz val="11"/>
      <name val="Bahnschrift Light SemiCondensed"/>
      <family val="2"/>
      <charset val="238"/>
    </font>
    <font>
      <sz val="10"/>
      <name val="Bahnschrift SemiBold"/>
      <family val="2"/>
      <charset val="238"/>
    </font>
    <font>
      <sz val="14"/>
      <name val="Bahnschrift SemiBold SemiConden"/>
      <family val="2"/>
      <charset val="238"/>
    </font>
    <font>
      <sz val="10"/>
      <name val="Bahnschrift SemiCondensed"/>
      <family val="2"/>
      <charset val="238"/>
    </font>
    <font>
      <sz val="10"/>
      <name val="Bahnschrift SemiBold SemiConden"/>
      <family val="2"/>
      <charset val="238"/>
    </font>
    <font>
      <sz val="16"/>
      <name val="Bahnschrift SemiBold SemiConden"/>
      <family val="2"/>
      <charset val="238"/>
    </font>
    <font>
      <sz val="12"/>
      <name val="Bahnschrift SemiBold SemiConden"/>
      <family val="2"/>
      <charset val="238"/>
    </font>
    <font>
      <sz val="14"/>
      <color rgb="FF222222"/>
      <name val="Bahnschrift SemiBold SemiConden"/>
      <family val="2"/>
      <charset val="238"/>
    </font>
    <font>
      <sz val="10"/>
      <color theme="0"/>
      <name val="Bahnschrift Light SemiCondensed"/>
      <family val="2"/>
      <charset val="238"/>
    </font>
    <font>
      <sz val="14"/>
      <color theme="0"/>
      <name val="Bahnschrift SemiBold SemiConden"/>
      <family val="2"/>
      <charset val="238"/>
    </font>
    <font>
      <sz val="14"/>
      <name val="Bahnschrift SemiBold"/>
      <family val="2"/>
      <charset val="238"/>
    </font>
    <font>
      <sz val="12"/>
      <color rgb="FF000000"/>
      <name val="Bahnschrift Light SemiCondensed"/>
      <family val="2"/>
      <charset val="238"/>
    </font>
    <font>
      <vertAlign val="superscript"/>
      <sz val="12"/>
      <color rgb="FF000000"/>
      <name val="Bahnschrift Light SemiCondensed"/>
      <family val="2"/>
      <charset val="238"/>
    </font>
    <font>
      <sz val="8"/>
      <name val="Bahnschrift Light SemiCondensed"/>
      <family val="2"/>
      <charset val="238"/>
    </font>
    <font>
      <sz val="12"/>
      <color rgb="FF000000"/>
      <name val="Bahnschrift SemiBold SemiConden"/>
      <family val="2"/>
      <charset val="238"/>
    </font>
    <font>
      <sz val="8"/>
      <name val="Bahnschrift SemiBold SemiConden"/>
      <family val="2"/>
      <charset val="238"/>
    </font>
    <font>
      <sz val="14"/>
      <color rgb="FF000000"/>
      <name val="Bahnschrift SemiBold SemiConden"/>
      <family val="2"/>
      <charset val="238"/>
    </font>
    <font>
      <sz val="12"/>
      <color theme="1" tint="0.499984740745262"/>
      <name val="Bahnschrift Light SemiCondensed"/>
      <family val="2"/>
      <charset val="238"/>
    </font>
    <font>
      <vertAlign val="superscript"/>
      <sz val="12"/>
      <color theme="1" tint="0.499984740745262"/>
      <name val="Bahnschrift Light SemiCondensed"/>
      <family val="2"/>
      <charset val="238"/>
    </font>
    <font>
      <sz val="10"/>
      <color rgb="FF000000"/>
      <name val="Bahnschrift Light SemiCondensed"/>
      <family val="2"/>
      <charset val="238"/>
    </font>
    <font>
      <sz val="16"/>
      <name val="Bahnschrift SemiCondensed"/>
      <family val="2"/>
      <charset val="238"/>
    </font>
    <font>
      <sz val="10"/>
      <color theme="1"/>
      <name val="Bahnschrift Light SemiCondensed"/>
      <family val="2"/>
      <charset val="238"/>
    </font>
    <font>
      <b/>
      <sz val="10"/>
      <color theme="1"/>
      <name val="Bahnschrift Light SemiCondensed"/>
      <family val="2"/>
      <charset val="238"/>
    </font>
    <font>
      <sz val="10"/>
      <color theme="1"/>
      <name val="Bahnschrift SemiBold SemiConden"/>
      <family val="2"/>
      <charset val="238"/>
    </font>
    <font>
      <sz val="10"/>
      <color indexed="8"/>
      <name val="Bahnschrift SemiBold SemiConden"/>
      <family val="2"/>
      <charset val="238"/>
    </font>
    <font>
      <sz val="12"/>
      <color theme="1"/>
      <name val="Bahnschrift SemiBold SemiConden"/>
      <family val="2"/>
      <charset val="238"/>
    </font>
    <font>
      <sz val="12"/>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9" tint="0.59999389629810485"/>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11">
    <xf numFmtId="0" fontId="0" fillId="0" borderId="0"/>
    <xf numFmtId="9" fontId="2"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9" fillId="0" borderId="0"/>
    <xf numFmtId="164" fontId="2" fillId="0" borderId="0" applyFont="0" applyFill="0" applyBorder="0" applyAlignment="0" applyProtection="0"/>
    <xf numFmtId="0" fontId="43" fillId="0" borderId="0">
      <alignment wrapText="1"/>
    </xf>
    <xf numFmtId="0" fontId="41" fillId="0" borderId="0">
      <alignment wrapText="1"/>
    </xf>
    <xf numFmtId="49" fontId="38" fillId="0" borderId="0">
      <alignment vertical="top" wrapText="1"/>
    </xf>
    <xf numFmtId="0" fontId="29" fillId="3" borderId="0" applyBorder="0"/>
  </cellStyleXfs>
  <cellXfs count="426">
    <xf numFmtId="0" fontId="0" fillId="0" borderId="0" xfId="0"/>
    <xf numFmtId="0" fontId="2" fillId="0" borderId="0" xfId="0" applyFont="1" applyProtection="1"/>
    <xf numFmtId="0" fontId="3" fillId="0" borderId="0" xfId="0" applyFont="1" applyAlignment="1" applyProtection="1">
      <alignment wrapText="1"/>
    </xf>
    <xf numFmtId="0" fontId="13" fillId="0" borderId="0" xfId="3" applyFont="1" applyProtection="1">
      <protection locked="0"/>
    </xf>
    <xf numFmtId="0" fontId="14" fillId="0" borderId="0" xfId="3" applyFont="1" applyBorder="1" applyProtection="1">
      <protection locked="0"/>
    </xf>
    <xf numFmtId="0" fontId="14" fillId="0" borderId="0" xfId="3" applyFont="1" applyFill="1" applyBorder="1" applyProtection="1">
      <protection locked="0"/>
    </xf>
    <xf numFmtId="0" fontId="14" fillId="0" borderId="0" xfId="3" applyFont="1" applyProtection="1">
      <protection locked="0"/>
    </xf>
    <xf numFmtId="167" fontId="15" fillId="0" borderId="0" xfId="3" applyNumberFormat="1" applyFont="1" applyAlignment="1" applyProtection="1">
      <alignment wrapText="1"/>
      <protection locked="0"/>
    </xf>
    <xf numFmtId="0" fontId="16" fillId="0" borderId="0" xfId="3" applyFont="1" applyFill="1" applyBorder="1" applyAlignment="1" applyProtection="1">
      <alignment horizontal="center" vertical="top" wrapText="1"/>
      <protection locked="0"/>
    </xf>
    <xf numFmtId="0" fontId="14" fillId="0" borderId="0" xfId="3" applyFont="1" applyFill="1" applyBorder="1" applyAlignment="1" applyProtection="1">
      <alignment horizontal="center" vertical="top" wrapText="1"/>
      <protection locked="0"/>
    </xf>
    <xf numFmtId="0" fontId="14" fillId="0" borderId="0" xfId="3" applyFont="1" applyBorder="1" applyAlignment="1" applyProtection="1">
      <alignment horizontal="center" vertical="top" wrapText="1"/>
      <protection locked="0"/>
    </xf>
    <xf numFmtId="4" fontId="14" fillId="0" borderId="0" xfId="3" applyNumberFormat="1" applyFont="1" applyFill="1" applyBorder="1" applyProtection="1">
      <protection locked="0"/>
    </xf>
    <xf numFmtId="0" fontId="14" fillId="0" borderId="0" xfId="3" applyFont="1" applyBorder="1" applyAlignment="1" applyProtection="1">
      <alignment horizontal="right"/>
      <protection locked="0"/>
    </xf>
    <xf numFmtId="4" fontId="14" fillId="0" borderId="0" xfId="3" applyNumberFormat="1" applyFont="1" applyFill="1" applyBorder="1" applyAlignment="1" applyProtection="1">
      <alignment horizontal="right"/>
      <protection locked="0"/>
    </xf>
    <xf numFmtId="0" fontId="14" fillId="0" borderId="0" xfId="3" applyFont="1" applyFill="1" applyBorder="1" applyAlignment="1" applyProtection="1">
      <alignment horizontal="right"/>
      <protection locked="0"/>
    </xf>
    <xf numFmtId="0" fontId="16" fillId="0" borderId="0" xfId="3" applyFont="1" applyFill="1" applyBorder="1" applyProtection="1">
      <protection locked="0"/>
    </xf>
    <xf numFmtId="2" fontId="14" fillId="0" borderId="0" xfId="3" applyNumberFormat="1" applyFont="1" applyProtection="1">
      <protection locked="0"/>
    </xf>
    <xf numFmtId="167" fontId="14" fillId="0" borderId="0" xfId="3" applyNumberFormat="1" applyFont="1" applyBorder="1" applyProtection="1">
      <protection locked="0"/>
    </xf>
    <xf numFmtId="167" fontId="14" fillId="0" borderId="0" xfId="3" applyNumberFormat="1" applyFont="1" applyFill="1" applyBorder="1" applyProtection="1">
      <protection locked="0"/>
    </xf>
    <xf numFmtId="168" fontId="14" fillId="0" borderId="0" xfId="3" applyNumberFormat="1" applyFont="1" applyFill="1" applyBorder="1" applyProtection="1">
      <protection locked="0"/>
    </xf>
    <xf numFmtId="0" fontId="3" fillId="0" borderId="0" xfId="0" applyFont="1"/>
    <xf numFmtId="0" fontId="17" fillId="0" borderId="12" xfId="0" applyFont="1" applyFill="1" applyBorder="1" applyProtection="1"/>
    <xf numFmtId="0" fontId="18" fillId="0" borderId="12" xfId="0" applyFont="1" applyFill="1" applyBorder="1" applyProtection="1"/>
    <xf numFmtId="0" fontId="19" fillId="0" borderId="17" xfId="0" applyFont="1" applyFill="1" applyBorder="1" applyAlignment="1" applyProtection="1">
      <alignment horizontal="right"/>
    </xf>
    <xf numFmtId="0" fontId="18" fillId="0" borderId="17" xfId="0" applyFont="1" applyFill="1" applyBorder="1" applyProtection="1"/>
    <xf numFmtId="2" fontId="19" fillId="0" borderId="16" xfId="0" applyNumberFormat="1" applyFont="1" applyFill="1" applyBorder="1" applyAlignment="1" applyProtection="1">
      <alignment horizontal="right"/>
    </xf>
    <xf numFmtId="0" fontId="19" fillId="0" borderId="12" xfId="0" applyFont="1" applyFill="1" applyBorder="1" applyProtection="1"/>
    <xf numFmtId="2" fontId="19" fillId="0" borderId="15" xfId="0" applyNumberFormat="1" applyFont="1" applyFill="1" applyBorder="1" applyAlignment="1" applyProtection="1">
      <alignment horizontal="right"/>
    </xf>
    <xf numFmtId="0" fontId="19" fillId="0" borderId="17" xfId="0" applyFont="1" applyFill="1" applyBorder="1" applyProtection="1"/>
    <xf numFmtId="0" fontId="19" fillId="0" borderId="0" xfId="0" applyFont="1" applyProtection="1"/>
    <xf numFmtId="0" fontId="18" fillId="0" borderId="0" xfId="0" applyFont="1" applyProtection="1"/>
    <xf numFmtId="0" fontId="19" fillId="0" borderId="0" xfId="0" applyFont="1" applyFill="1" applyBorder="1" applyProtection="1"/>
    <xf numFmtId="0" fontId="19" fillId="0" borderId="11" xfId="0" applyFont="1" applyBorder="1" applyProtection="1"/>
    <xf numFmtId="0" fontId="20" fillId="0" borderId="0" xfId="0" applyFont="1" applyProtection="1"/>
    <xf numFmtId="0" fontId="21" fillId="0" borderId="0" xfId="0" applyFont="1" applyProtection="1"/>
    <xf numFmtId="0" fontId="22" fillId="0" borderId="0" xfId="0" applyFont="1" applyAlignment="1" applyProtection="1">
      <alignment horizontal="right" vertical="center"/>
    </xf>
    <xf numFmtId="0" fontId="20" fillId="5" borderId="12" xfId="0" applyFont="1" applyFill="1" applyBorder="1" applyAlignment="1" applyProtection="1">
      <alignment vertical="center"/>
      <protection locked="0"/>
    </xf>
    <xf numFmtId="0" fontId="19" fillId="5" borderId="12" xfId="0" applyFont="1" applyFill="1" applyBorder="1" applyAlignment="1" applyProtection="1">
      <alignment vertical="center"/>
    </xf>
    <xf numFmtId="49" fontId="20" fillId="5" borderId="12" xfId="0" applyNumberFormat="1" applyFont="1" applyFill="1" applyBorder="1" applyAlignment="1" applyProtection="1">
      <alignment vertical="center"/>
      <protection locked="0"/>
    </xf>
    <xf numFmtId="0" fontId="19" fillId="0" borderId="0" xfId="0" applyFont="1" applyFill="1" applyProtection="1"/>
    <xf numFmtId="0" fontId="18" fillId="5" borderId="12" xfId="0" applyFont="1" applyFill="1" applyBorder="1" applyAlignment="1" applyProtection="1">
      <alignment vertical="center"/>
    </xf>
    <xf numFmtId="14" fontId="22" fillId="0" borderId="0" xfId="0" applyNumberFormat="1" applyFont="1" applyFill="1" applyAlignment="1" applyProtection="1">
      <alignment horizontal="right" vertical="center"/>
    </xf>
    <xf numFmtId="14" fontId="20" fillId="5" borderId="12" xfId="0" applyNumberFormat="1" applyFont="1" applyFill="1" applyBorder="1" applyAlignment="1" applyProtection="1">
      <alignment horizontal="left" vertical="center"/>
      <protection locked="0"/>
    </xf>
    <xf numFmtId="0" fontId="19" fillId="0" borderId="0" xfId="0" applyFont="1" applyBorder="1" applyProtection="1"/>
    <xf numFmtId="0" fontId="19" fillId="3" borderId="0" xfId="0" applyFont="1" applyFill="1" applyBorder="1" applyProtection="1"/>
    <xf numFmtId="0" fontId="19" fillId="3" borderId="1" xfId="0" applyFont="1" applyFill="1" applyBorder="1" applyAlignment="1" applyProtection="1">
      <alignment horizontal="right"/>
    </xf>
    <xf numFmtId="0" fontId="19" fillId="3" borderId="1" xfId="0" applyFont="1" applyFill="1" applyBorder="1" applyProtection="1"/>
    <xf numFmtId="3" fontId="18" fillId="0" borderId="0" xfId="0" applyNumberFormat="1" applyFont="1" applyFill="1" applyBorder="1" applyAlignment="1" applyProtection="1">
      <alignment vertical="top" wrapText="1"/>
      <protection locked="0"/>
    </xf>
    <xf numFmtId="0" fontId="21" fillId="0" borderId="0" xfId="0" applyFont="1" applyAlignment="1" applyProtection="1">
      <alignment wrapText="1"/>
    </xf>
    <xf numFmtId="0" fontId="23" fillId="0" borderId="0" xfId="0" applyFont="1" applyFill="1" applyBorder="1" applyAlignment="1" applyProtection="1">
      <alignment wrapText="1"/>
    </xf>
    <xf numFmtId="3" fontId="23" fillId="0" borderId="0" xfId="0" applyNumberFormat="1" applyFont="1" applyFill="1" applyBorder="1" applyAlignment="1" applyProtection="1">
      <alignment wrapText="1"/>
    </xf>
    <xf numFmtId="2" fontId="23" fillId="0" borderId="0" xfId="0" applyNumberFormat="1" applyFont="1" applyFill="1" applyBorder="1" applyAlignment="1" applyProtection="1">
      <alignment wrapText="1"/>
    </xf>
    <xf numFmtId="0" fontId="19" fillId="0" borderId="17" xfId="0" applyFont="1" applyBorder="1" applyAlignment="1" applyProtection="1">
      <alignment horizontal="right"/>
    </xf>
    <xf numFmtId="3" fontId="18" fillId="0" borderId="0" xfId="0" applyNumberFormat="1" applyFont="1" applyFill="1" applyBorder="1" applyProtection="1"/>
    <xf numFmtId="2" fontId="21" fillId="0" borderId="0" xfId="0" applyNumberFormat="1" applyFont="1" applyFill="1" applyBorder="1" applyProtection="1"/>
    <xf numFmtId="3" fontId="23" fillId="0" borderId="0" xfId="0" applyNumberFormat="1" applyFont="1" applyFill="1" applyBorder="1" applyProtection="1"/>
    <xf numFmtId="3" fontId="21" fillId="0" borderId="0" xfId="0" applyNumberFormat="1" applyFont="1" applyProtection="1"/>
    <xf numFmtId="3" fontId="21" fillId="0" borderId="0" xfId="0" applyNumberFormat="1" applyFont="1" applyFill="1" applyBorder="1" applyProtection="1"/>
    <xf numFmtId="0" fontId="23" fillId="0" borderId="0" xfId="0" applyFont="1" applyBorder="1" applyProtection="1"/>
    <xf numFmtId="0" fontId="19" fillId="0" borderId="17" xfId="0" applyFont="1" applyBorder="1" applyProtection="1"/>
    <xf numFmtId="0" fontId="21" fillId="0" borderId="0" xfId="0" applyFont="1" applyFill="1" applyBorder="1" applyProtection="1"/>
    <xf numFmtId="0" fontId="23" fillId="0" borderId="0" xfId="0" applyFont="1" applyFill="1" applyBorder="1" applyProtection="1"/>
    <xf numFmtId="0" fontId="18" fillId="0" borderId="0" xfId="0" applyFont="1" applyFill="1" applyBorder="1" applyProtection="1"/>
    <xf numFmtId="3" fontId="18" fillId="0" borderId="1" xfId="0" applyNumberFormat="1" applyFont="1" applyFill="1" applyBorder="1" applyProtection="1"/>
    <xf numFmtId="0" fontId="19" fillId="0" borderId="16" xfId="0" applyFont="1" applyFill="1" applyBorder="1" applyProtection="1"/>
    <xf numFmtId="3" fontId="18" fillId="0" borderId="10" xfId="0" applyNumberFormat="1" applyFont="1" applyFill="1" applyBorder="1" applyProtection="1"/>
    <xf numFmtId="2" fontId="18" fillId="0" borderId="0" xfId="0" applyNumberFormat="1" applyFont="1" applyFill="1" applyBorder="1" applyProtection="1"/>
    <xf numFmtId="0" fontId="18" fillId="0" borderId="1" xfId="0" applyFont="1" applyFill="1" applyBorder="1" applyProtection="1"/>
    <xf numFmtId="0" fontId="21" fillId="0" borderId="24" xfId="0" applyFont="1" applyBorder="1" applyProtection="1"/>
    <xf numFmtId="49" fontId="18" fillId="0" borderId="1" xfId="0" applyNumberFormat="1" applyFont="1" applyFill="1" applyBorder="1" applyProtection="1"/>
    <xf numFmtId="0" fontId="19" fillId="5" borderId="15" xfId="0" applyFont="1" applyFill="1" applyBorder="1" applyProtection="1">
      <protection locked="0"/>
    </xf>
    <xf numFmtId="0" fontId="19" fillId="5" borderId="12" xfId="0" applyFont="1" applyFill="1" applyBorder="1" applyProtection="1">
      <protection locked="0"/>
    </xf>
    <xf numFmtId="0" fontId="19" fillId="5" borderId="16" xfId="0" applyFont="1" applyFill="1" applyBorder="1" applyProtection="1">
      <protection locked="0"/>
    </xf>
    <xf numFmtId="0" fontId="19" fillId="5" borderId="17" xfId="0" applyFont="1" applyFill="1" applyBorder="1" applyProtection="1">
      <protection locked="0"/>
    </xf>
    <xf numFmtId="0" fontId="19" fillId="5" borderId="10" xfId="0" applyFont="1" applyFill="1" applyBorder="1" applyProtection="1">
      <protection locked="0"/>
    </xf>
    <xf numFmtId="3" fontId="18" fillId="0" borderId="16" xfId="0" applyNumberFormat="1" applyFont="1" applyFill="1" applyBorder="1" applyProtection="1"/>
    <xf numFmtId="0" fontId="21" fillId="0" borderId="1" xfId="0" applyFont="1" applyBorder="1" applyProtection="1"/>
    <xf numFmtId="3" fontId="21" fillId="0" borderId="0" xfId="0" applyNumberFormat="1" applyFont="1" applyFill="1" applyProtection="1"/>
    <xf numFmtId="0" fontId="21" fillId="0" borderId="0" xfId="0" applyFont="1" applyBorder="1" applyProtection="1"/>
    <xf numFmtId="10" fontId="21" fillId="0" borderId="0" xfId="0" applyNumberFormat="1" applyFont="1" applyProtection="1"/>
    <xf numFmtId="3" fontId="19" fillId="0" borderId="0" xfId="0" applyNumberFormat="1" applyFont="1" applyFill="1" applyBorder="1" applyProtection="1"/>
    <xf numFmtId="0" fontId="21" fillId="0" borderId="11" xfId="0" applyFont="1" applyBorder="1" applyProtection="1"/>
    <xf numFmtId="0" fontId="21" fillId="0" borderId="14" xfId="0" applyFont="1" applyBorder="1" applyProtection="1"/>
    <xf numFmtId="3" fontId="18" fillId="0" borderId="11" xfId="0" applyNumberFormat="1" applyFont="1" applyFill="1" applyBorder="1" applyProtection="1"/>
    <xf numFmtId="3" fontId="18" fillId="0" borderId="14" xfId="0" applyNumberFormat="1" applyFont="1" applyFill="1" applyBorder="1" applyProtection="1"/>
    <xf numFmtId="2" fontId="18" fillId="0" borderId="11" xfId="0" applyNumberFormat="1" applyFont="1" applyFill="1" applyBorder="1" applyProtection="1"/>
    <xf numFmtId="0" fontId="18" fillId="0" borderId="14" xfId="0" applyFont="1" applyFill="1" applyBorder="1" applyProtection="1"/>
    <xf numFmtId="0" fontId="18" fillId="0" borderId="11" xfId="0" applyFont="1" applyFill="1" applyBorder="1" applyProtection="1"/>
    <xf numFmtId="3" fontId="18" fillId="0" borderId="2" xfId="0" applyNumberFormat="1" applyFont="1" applyFill="1" applyBorder="1" applyProtection="1"/>
    <xf numFmtId="2" fontId="19" fillId="0" borderId="1" xfId="0" applyNumberFormat="1" applyFont="1" applyFill="1" applyBorder="1" applyProtection="1"/>
    <xf numFmtId="0" fontId="19" fillId="0" borderId="11" xfId="0" applyFont="1" applyFill="1" applyBorder="1" applyProtection="1"/>
    <xf numFmtId="2" fontId="19" fillId="0" borderId="14" xfId="0" applyNumberFormat="1" applyFont="1" applyFill="1" applyBorder="1" applyProtection="1"/>
    <xf numFmtId="3" fontId="19" fillId="0" borderId="11" xfId="0" applyNumberFormat="1" applyFont="1" applyFill="1" applyBorder="1" applyProtection="1"/>
    <xf numFmtId="0" fontId="19" fillId="0" borderId="1" xfId="0" applyFont="1" applyFill="1" applyBorder="1" applyProtection="1"/>
    <xf numFmtId="49" fontId="21" fillId="0" borderId="0" xfId="0" applyNumberFormat="1" applyFont="1" applyProtection="1"/>
    <xf numFmtId="0" fontId="19" fillId="0" borderId="2" xfId="0" applyFont="1" applyFill="1" applyBorder="1" applyProtection="1"/>
    <xf numFmtId="0" fontId="19" fillId="0" borderId="3" xfId="0" applyFont="1" applyFill="1" applyBorder="1" applyProtection="1"/>
    <xf numFmtId="3" fontId="19" fillId="0" borderId="9" xfId="0" applyNumberFormat="1" applyFont="1" applyFill="1" applyBorder="1" applyProtection="1"/>
    <xf numFmtId="3" fontId="19" fillId="0" borderId="2" xfId="0" applyNumberFormat="1" applyFont="1" applyFill="1" applyBorder="1" applyProtection="1"/>
    <xf numFmtId="3" fontId="19" fillId="0" borderId="22" xfId="0" applyNumberFormat="1" applyFont="1" applyFill="1" applyBorder="1" applyProtection="1"/>
    <xf numFmtId="3" fontId="19" fillId="0" borderId="3" xfId="0" applyNumberFormat="1" applyFont="1" applyFill="1" applyBorder="1" applyProtection="1"/>
    <xf numFmtId="165" fontId="19" fillId="0" borderId="2" xfId="0" applyNumberFormat="1" applyFont="1" applyFill="1" applyBorder="1" applyProtection="1"/>
    <xf numFmtId="0" fontId="19" fillId="0" borderId="0" xfId="0" applyFont="1" applyBorder="1" applyAlignment="1" applyProtection="1">
      <alignment horizontal="right"/>
    </xf>
    <xf numFmtId="0" fontId="23" fillId="0" borderId="0" xfId="0" applyFont="1" applyFill="1" applyProtection="1"/>
    <xf numFmtId="0" fontId="21" fillId="0" borderId="0" xfId="0" applyFont="1" applyFill="1" applyProtection="1"/>
    <xf numFmtId="0" fontId="19" fillId="0" borderId="2" xfId="0" applyFont="1" applyBorder="1" applyProtection="1"/>
    <xf numFmtId="0" fontId="18" fillId="0" borderId="2" xfId="0" applyFont="1" applyFill="1" applyBorder="1" applyProtection="1"/>
    <xf numFmtId="0" fontId="18" fillId="0" borderId="3" xfId="0" applyFont="1" applyFill="1" applyBorder="1" applyProtection="1"/>
    <xf numFmtId="165" fontId="21" fillId="0" borderId="0" xfId="0" applyNumberFormat="1" applyFont="1" applyFill="1" applyBorder="1" applyProtection="1"/>
    <xf numFmtId="2" fontId="23" fillId="0" borderId="0" xfId="0" applyNumberFormat="1" applyFont="1" applyFill="1" applyBorder="1" applyProtection="1"/>
    <xf numFmtId="10" fontId="21" fillId="0" borderId="0" xfId="1" applyNumberFormat="1" applyFont="1" applyFill="1" applyBorder="1" applyProtection="1"/>
    <xf numFmtId="0" fontId="21" fillId="0" borderId="0" xfId="0" applyFont="1" applyAlignment="1" applyProtection="1">
      <alignment horizontal="right"/>
    </xf>
    <xf numFmtId="0" fontId="25" fillId="0" borderId="0" xfId="0" applyFont="1" applyAlignment="1"/>
    <xf numFmtId="0" fontId="26" fillId="0" borderId="0" xfId="0" applyFont="1" applyAlignment="1"/>
    <xf numFmtId="0" fontId="27" fillId="0" borderId="0" xfId="0" applyFont="1" applyProtection="1"/>
    <xf numFmtId="0" fontId="21"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28" fillId="0" borderId="0" xfId="0" applyFont="1" applyAlignment="1" applyProtection="1">
      <alignment vertical="center"/>
    </xf>
    <xf numFmtId="0" fontId="28" fillId="0" borderId="0" xfId="0" applyFont="1" applyProtection="1"/>
    <xf numFmtId="0" fontId="29" fillId="0" borderId="0" xfId="0" applyFont="1" applyProtection="1"/>
    <xf numFmtId="0" fontId="17" fillId="0" borderId="0" xfId="0" applyFont="1" applyFill="1" applyBorder="1" applyProtection="1"/>
    <xf numFmtId="0" fontId="17" fillId="0" borderId="0" xfId="0" applyFont="1" applyProtection="1"/>
    <xf numFmtId="0" fontId="17" fillId="0" borderId="11" xfId="0" applyFont="1" applyBorder="1" applyProtection="1"/>
    <xf numFmtId="0" fontId="17" fillId="0" borderId="11" xfId="0" applyFont="1" applyFill="1" applyBorder="1" applyAlignment="1" applyProtection="1">
      <alignment vertical="top" wrapText="1"/>
    </xf>
    <xf numFmtId="0" fontId="17" fillId="0" borderId="14" xfId="0" applyFont="1" applyBorder="1" applyAlignment="1" applyProtection="1">
      <alignment vertical="top" wrapText="1"/>
    </xf>
    <xf numFmtId="0" fontId="30" fillId="0" borderId="0" xfId="0" applyFont="1" applyFill="1" applyBorder="1" applyAlignment="1" applyProtection="1">
      <alignment vertical="center"/>
    </xf>
    <xf numFmtId="2" fontId="31" fillId="5" borderId="12" xfId="0" applyNumberFormat="1" applyFont="1" applyFill="1" applyBorder="1" applyAlignment="1" applyProtection="1">
      <alignment vertical="center"/>
      <protection locked="0"/>
    </xf>
    <xf numFmtId="3" fontId="17" fillId="0" borderId="9" xfId="0" applyNumberFormat="1" applyFont="1" applyFill="1" applyBorder="1" applyProtection="1"/>
    <xf numFmtId="3" fontId="17" fillId="0" borderId="0" xfId="0" applyNumberFormat="1" applyFont="1" applyFill="1" applyBorder="1" applyProtection="1"/>
    <xf numFmtId="3" fontId="17" fillId="0" borderId="1" xfId="0" applyNumberFormat="1" applyFont="1" applyFill="1" applyBorder="1" applyProtection="1"/>
    <xf numFmtId="165" fontId="17" fillId="0" borderId="0" xfId="0" applyNumberFormat="1" applyFont="1" applyFill="1" applyBorder="1" applyProtection="1"/>
    <xf numFmtId="0" fontId="17" fillId="0" borderId="1" xfId="0" applyFont="1" applyFill="1" applyBorder="1" applyProtection="1"/>
    <xf numFmtId="3" fontId="17" fillId="0" borderId="19" xfId="0" applyNumberFormat="1" applyFont="1" applyFill="1" applyBorder="1" applyProtection="1"/>
    <xf numFmtId="165" fontId="17" fillId="0" borderId="18" xfId="0" applyNumberFormat="1" applyFont="1" applyFill="1" applyBorder="1" applyProtection="1"/>
    <xf numFmtId="0" fontId="17" fillId="0" borderId="0" xfId="0" applyFont="1" applyFill="1" applyProtection="1"/>
    <xf numFmtId="3" fontId="17" fillId="0" borderId="2" xfId="0" applyNumberFormat="1" applyFont="1" applyFill="1" applyBorder="1" applyProtection="1"/>
    <xf numFmtId="0" fontId="17" fillId="0" borderId="8" xfId="0" applyFont="1" applyFill="1" applyBorder="1" applyProtection="1"/>
    <xf numFmtId="3" fontId="17" fillId="0" borderId="10" xfId="0" applyNumberFormat="1" applyFont="1" applyFill="1" applyBorder="1" applyProtection="1"/>
    <xf numFmtId="0" fontId="29" fillId="3" borderId="0" xfId="0" applyFont="1" applyFill="1" applyBorder="1" applyProtection="1"/>
    <xf numFmtId="0" fontId="19" fillId="3" borderId="10" xfId="0" applyFont="1" applyFill="1" applyBorder="1" applyAlignment="1" applyProtection="1">
      <alignment horizontal="right"/>
    </xf>
    <xf numFmtId="0" fontId="19" fillId="3" borderId="0" xfId="0" applyFont="1" applyFill="1" applyBorder="1" applyAlignment="1" applyProtection="1">
      <alignment horizontal="right"/>
    </xf>
    <xf numFmtId="0" fontId="19" fillId="3" borderId="19" xfId="0" applyFont="1" applyFill="1" applyBorder="1" applyAlignment="1" applyProtection="1">
      <alignment horizontal="right"/>
    </xf>
    <xf numFmtId="0" fontId="29" fillId="3" borderId="1" xfId="0" applyFont="1" applyFill="1" applyBorder="1" applyAlignment="1" applyProtection="1">
      <alignment horizontal="right"/>
    </xf>
    <xf numFmtId="0" fontId="29" fillId="3" borderId="10" xfId="0" applyFont="1" applyFill="1" applyBorder="1" applyAlignment="1" applyProtection="1">
      <alignment horizontal="left"/>
    </xf>
    <xf numFmtId="0" fontId="29" fillId="3" borderId="1" xfId="0" applyFont="1" applyFill="1" applyBorder="1" applyProtection="1"/>
    <xf numFmtId="0" fontId="19" fillId="5" borderId="2" xfId="0" applyFont="1" applyFill="1" applyBorder="1" applyProtection="1">
      <protection locked="0"/>
    </xf>
    <xf numFmtId="0" fontId="19" fillId="5" borderId="3" xfId="0" applyFont="1" applyFill="1" applyBorder="1" applyProtection="1">
      <protection locked="0"/>
    </xf>
    <xf numFmtId="3" fontId="19" fillId="5" borderId="2" xfId="0" applyNumberFormat="1" applyFont="1" applyFill="1" applyBorder="1" applyProtection="1">
      <protection locked="0"/>
    </xf>
    <xf numFmtId="3" fontId="19" fillId="5" borderId="22" xfId="0" applyNumberFormat="1" applyFont="1" applyFill="1" applyBorder="1" applyProtection="1">
      <protection locked="0"/>
    </xf>
    <xf numFmtId="3" fontId="17" fillId="0" borderId="6" xfId="0" applyNumberFormat="1" applyFont="1" applyFill="1" applyBorder="1" applyProtection="1"/>
    <xf numFmtId="0" fontId="19" fillId="0" borderId="14" xfId="0" applyFont="1" applyFill="1" applyBorder="1" applyProtection="1"/>
    <xf numFmtId="3" fontId="19" fillId="0" borderId="13" xfId="0" applyNumberFormat="1" applyFont="1" applyFill="1" applyBorder="1" applyProtection="1"/>
    <xf numFmtId="3" fontId="19" fillId="0" borderId="20" xfId="0" applyNumberFormat="1" applyFont="1" applyFill="1" applyBorder="1" applyProtection="1"/>
    <xf numFmtId="3" fontId="19" fillId="0" borderId="14" xfId="0" applyNumberFormat="1" applyFont="1" applyFill="1" applyBorder="1" applyProtection="1"/>
    <xf numFmtId="165" fontId="19" fillId="0" borderId="11" xfId="0" applyNumberFormat="1" applyFont="1" applyFill="1" applyBorder="1" applyProtection="1"/>
    <xf numFmtId="3" fontId="19" fillId="0" borderId="15" xfId="0" applyNumberFormat="1" applyFont="1" applyFill="1" applyBorder="1" applyProtection="1"/>
    <xf numFmtId="3" fontId="19" fillId="0" borderId="12" xfId="0" applyNumberFormat="1" applyFont="1" applyFill="1" applyBorder="1" applyProtection="1"/>
    <xf numFmtId="3" fontId="19" fillId="0" borderId="21" xfId="0" applyNumberFormat="1" applyFont="1" applyFill="1" applyBorder="1" applyProtection="1"/>
    <xf numFmtId="3" fontId="19" fillId="0" borderId="17" xfId="0" applyNumberFormat="1" applyFont="1" applyFill="1" applyBorder="1" applyProtection="1"/>
    <xf numFmtId="165" fontId="19" fillId="0" borderId="12" xfId="0" applyNumberFormat="1" applyFont="1" applyFill="1" applyBorder="1" applyProtection="1"/>
    <xf numFmtId="0" fontId="19" fillId="0" borderId="12" xfId="0" applyFont="1" applyBorder="1" applyProtection="1"/>
    <xf numFmtId="0" fontId="19" fillId="5" borderId="11" xfId="0" applyFont="1" applyFill="1" applyBorder="1" applyProtection="1">
      <protection locked="0"/>
    </xf>
    <xf numFmtId="0" fontId="19" fillId="5" borderId="14" xfId="0" applyFont="1" applyFill="1" applyBorder="1" applyProtection="1">
      <protection locked="0"/>
    </xf>
    <xf numFmtId="3" fontId="19" fillId="5" borderId="11" xfId="0" applyNumberFormat="1" applyFont="1" applyFill="1" applyBorder="1" applyProtection="1">
      <protection locked="0"/>
    </xf>
    <xf numFmtId="3" fontId="19" fillId="5" borderId="20" xfId="0" applyNumberFormat="1" applyFont="1" applyFill="1" applyBorder="1" applyProtection="1">
      <protection locked="0"/>
    </xf>
    <xf numFmtId="0" fontId="19" fillId="5" borderId="12" xfId="0" applyFont="1" applyFill="1" applyBorder="1" applyAlignment="1" applyProtection="1">
      <alignment horizontal="right"/>
      <protection locked="0"/>
    </xf>
    <xf numFmtId="3" fontId="19" fillId="5" borderId="12" xfId="0" applyNumberFormat="1" applyFont="1" applyFill="1" applyBorder="1" applyProtection="1">
      <protection locked="0"/>
    </xf>
    <xf numFmtId="3" fontId="19" fillId="5" borderId="21" xfId="0" applyNumberFormat="1" applyFont="1" applyFill="1" applyBorder="1" applyProtection="1">
      <protection locked="0"/>
    </xf>
    <xf numFmtId="0" fontId="19" fillId="0" borderId="14" xfId="0" applyFont="1" applyFill="1" applyBorder="1" applyAlignment="1" applyProtection="1">
      <alignment horizontal="right"/>
    </xf>
    <xf numFmtId="0" fontId="19" fillId="0" borderId="12" xfId="0" applyFont="1" applyBorder="1" applyAlignment="1" applyProtection="1"/>
    <xf numFmtId="0" fontId="19" fillId="5" borderId="17" xfId="0" applyFont="1" applyFill="1" applyBorder="1" applyAlignment="1" applyProtection="1">
      <alignment horizontal="right"/>
      <protection locked="0"/>
    </xf>
    <xf numFmtId="0" fontId="19" fillId="2" borderId="12" xfId="0" applyFont="1" applyFill="1" applyBorder="1" applyProtection="1"/>
    <xf numFmtId="3" fontId="19" fillId="2" borderId="12" xfId="0" applyNumberFormat="1" applyFont="1" applyFill="1" applyBorder="1" applyProtection="1"/>
    <xf numFmtId="3" fontId="19" fillId="2" borderId="21" xfId="0" applyNumberFormat="1" applyFont="1" applyFill="1" applyBorder="1" applyProtection="1"/>
    <xf numFmtId="3" fontId="17" fillId="0" borderId="22" xfId="0" applyNumberFormat="1" applyFont="1" applyFill="1" applyBorder="1" applyProtection="1"/>
    <xf numFmtId="3" fontId="17" fillId="0" borderId="3" xfId="0" applyNumberFormat="1" applyFont="1" applyFill="1" applyBorder="1" applyProtection="1"/>
    <xf numFmtId="165" fontId="17" fillId="0" borderId="2" xfId="0" applyNumberFormat="1" applyFont="1" applyFill="1" applyBorder="1" applyProtection="1"/>
    <xf numFmtId="0" fontId="32" fillId="0" borderId="4" xfId="0" applyFont="1" applyFill="1" applyBorder="1" applyProtection="1"/>
    <xf numFmtId="0" fontId="32" fillId="0" borderId="7" xfId="0" applyFont="1" applyFill="1" applyBorder="1" applyProtection="1"/>
    <xf numFmtId="3" fontId="32" fillId="0" borderId="5" xfId="0" applyNumberFormat="1" applyFont="1" applyFill="1" applyBorder="1" applyProtection="1"/>
    <xf numFmtId="3" fontId="32" fillId="0" borderId="4" xfId="0" applyNumberFormat="1" applyFont="1" applyFill="1" applyBorder="1" applyProtection="1"/>
    <xf numFmtId="3" fontId="32" fillId="0" borderId="23" xfId="0" applyNumberFormat="1" applyFont="1" applyFill="1" applyBorder="1" applyProtection="1"/>
    <xf numFmtId="3" fontId="32" fillId="0" borderId="7" xfId="0" applyNumberFormat="1" applyFont="1" applyFill="1" applyBorder="1" applyProtection="1"/>
    <xf numFmtId="165" fontId="32" fillId="0" borderId="4" xfId="0" applyNumberFormat="1" applyFont="1" applyFill="1" applyBorder="1" applyProtection="1"/>
    <xf numFmtId="3" fontId="30" fillId="0" borderId="0" xfId="0" applyNumberFormat="1" applyFont="1" applyFill="1" applyBorder="1" applyAlignment="1" applyProtection="1">
      <alignment wrapText="1"/>
    </xf>
    <xf numFmtId="3" fontId="30" fillId="0" borderId="0" xfId="0" applyNumberFormat="1" applyFont="1" applyFill="1" applyBorder="1" applyProtection="1"/>
    <xf numFmtId="0" fontId="30" fillId="0" borderId="0" xfId="0" applyFont="1" applyBorder="1" applyProtection="1"/>
    <xf numFmtId="2" fontId="30" fillId="0" borderId="0" xfId="0" applyNumberFormat="1" applyFont="1" applyFill="1" applyBorder="1" applyAlignment="1" applyProtection="1">
      <alignment wrapText="1"/>
    </xf>
    <xf numFmtId="0" fontId="19" fillId="3" borderId="26" xfId="0" applyFont="1" applyFill="1" applyBorder="1" applyAlignment="1" applyProtection="1">
      <alignment horizontal="right"/>
    </xf>
    <xf numFmtId="3" fontId="17" fillId="0" borderId="26" xfId="0" applyNumberFormat="1" applyFont="1" applyFill="1" applyBorder="1" applyProtection="1"/>
    <xf numFmtId="3" fontId="19" fillId="0" borderId="27" xfId="0" applyNumberFormat="1" applyFont="1" applyFill="1" applyBorder="1" applyProtection="1"/>
    <xf numFmtId="3" fontId="19" fillId="0" borderId="28" xfId="0" applyNumberFormat="1" applyFont="1" applyFill="1" applyBorder="1" applyProtection="1"/>
    <xf numFmtId="3" fontId="19" fillId="0" borderId="25" xfId="0" applyNumberFormat="1" applyFont="1" applyFill="1" applyBorder="1" applyProtection="1"/>
    <xf numFmtId="3" fontId="19" fillId="5" borderId="27" xfId="0" applyNumberFormat="1" applyFont="1" applyFill="1" applyBorder="1" applyProtection="1">
      <protection locked="0"/>
    </xf>
    <xf numFmtId="3" fontId="19" fillId="5" borderId="28" xfId="0" applyNumberFormat="1" applyFont="1" applyFill="1" applyBorder="1" applyProtection="1">
      <protection locked="0"/>
    </xf>
    <xf numFmtId="0" fontId="19" fillId="5" borderId="28" xfId="0" applyFont="1" applyFill="1" applyBorder="1" applyProtection="1">
      <protection locked="0"/>
    </xf>
    <xf numFmtId="0" fontId="19" fillId="5" borderId="25" xfId="0" applyFont="1" applyFill="1" applyBorder="1" applyProtection="1">
      <protection locked="0"/>
    </xf>
    <xf numFmtId="3" fontId="19" fillId="5" borderId="28" xfId="0" applyNumberFormat="1" applyFont="1" applyFill="1" applyBorder="1" applyProtection="1"/>
    <xf numFmtId="0" fontId="19" fillId="5" borderId="28" xfId="0" applyFont="1" applyFill="1" applyBorder="1" applyProtection="1"/>
    <xf numFmtId="0" fontId="19" fillId="5" borderId="25" xfId="0" applyFont="1" applyFill="1" applyBorder="1" applyProtection="1"/>
    <xf numFmtId="3" fontId="17" fillId="0" borderId="25" xfId="0" applyNumberFormat="1" applyFont="1" applyFill="1" applyBorder="1" applyProtection="1"/>
    <xf numFmtId="3" fontId="32" fillId="0" borderId="29" xfId="0" applyNumberFormat="1" applyFont="1" applyFill="1" applyBorder="1" applyProtection="1"/>
    <xf numFmtId="0" fontId="19" fillId="3" borderId="31" xfId="0" applyFont="1" applyFill="1" applyBorder="1" applyAlignment="1" applyProtection="1">
      <alignment horizontal="right"/>
    </xf>
    <xf numFmtId="3" fontId="17" fillId="2" borderId="31" xfId="0" applyNumberFormat="1" applyFont="1" applyFill="1" applyBorder="1" applyProtection="1"/>
    <xf numFmtId="3" fontId="19" fillId="0" borderId="32" xfId="0" applyNumberFormat="1" applyFont="1" applyFill="1" applyBorder="1" applyProtection="1"/>
    <xf numFmtId="3" fontId="19" fillId="0" borderId="33" xfId="0" applyNumberFormat="1" applyFont="1" applyFill="1" applyBorder="1" applyProtection="1"/>
    <xf numFmtId="3" fontId="19" fillId="0" borderId="30" xfId="0" applyNumberFormat="1" applyFont="1" applyFill="1" applyBorder="1" applyProtection="1"/>
    <xf numFmtId="3" fontId="17" fillId="0" borderId="31" xfId="0" applyNumberFormat="1" applyFont="1" applyFill="1" applyBorder="1" applyProtection="1"/>
    <xf numFmtId="3" fontId="19" fillId="2" borderId="32" xfId="0" applyNumberFormat="1" applyFont="1" applyFill="1" applyBorder="1" applyProtection="1"/>
    <xf numFmtId="3" fontId="19" fillId="2" borderId="30" xfId="0" applyNumberFormat="1" applyFont="1" applyFill="1" applyBorder="1" applyProtection="1"/>
    <xf numFmtId="3" fontId="19" fillId="5" borderId="32" xfId="0" applyNumberFormat="1" applyFont="1" applyFill="1" applyBorder="1" applyProtection="1">
      <protection locked="0"/>
    </xf>
    <xf numFmtId="3" fontId="19" fillId="5" borderId="33" xfId="0" applyNumberFormat="1" applyFont="1" applyFill="1" applyBorder="1" applyProtection="1">
      <protection locked="0"/>
    </xf>
    <xf numFmtId="0" fontId="19" fillId="5" borderId="33" xfId="0" applyFont="1" applyFill="1" applyBorder="1" applyProtection="1">
      <protection locked="0"/>
    </xf>
    <xf numFmtId="0" fontId="19" fillId="5" borderId="30" xfId="0" applyFont="1" applyFill="1" applyBorder="1" applyProtection="1">
      <protection locked="0"/>
    </xf>
    <xf numFmtId="3" fontId="19" fillId="5" borderId="33" xfId="0" applyNumberFormat="1" applyFont="1" applyFill="1" applyBorder="1" applyProtection="1"/>
    <xf numFmtId="0" fontId="19" fillId="5" borderId="33" xfId="0" applyFont="1" applyFill="1" applyBorder="1" applyProtection="1"/>
    <xf numFmtId="0" fontId="19" fillId="5" borderId="30" xfId="0" applyFont="1" applyFill="1" applyBorder="1" applyProtection="1"/>
    <xf numFmtId="3" fontId="17" fillId="0" borderId="30" xfId="0" applyNumberFormat="1" applyFont="1" applyFill="1" applyBorder="1" applyProtection="1"/>
    <xf numFmtId="3" fontId="32" fillId="0" borderId="34" xfId="0" applyNumberFormat="1" applyFont="1" applyFill="1" applyBorder="1" applyProtection="1"/>
    <xf numFmtId="0" fontId="19" fillId="0" borderId="0" xfId="0" applyFont="1" applyFill="1" applyBorder="1" applyAlignment="1" applyProtection="1">
      <alignment horizontal="right"/>
    </xf>
    <xf numFmtId="0" fontId="33" fillId="0" borderId="0" xfId="0" applyFont="1" applyProtection="1"/>
    <xf numFmtId="9" fontId="33" fillId="0" borderId="0" xfId="1" applyFont="1" applyProtection="1"/>
    <xf numFmtId="0" fontId="31" fillId="0" borderId="0" xfId="0" applyFont="1" applyProtection="1"/>
    <xf numFmtId="0" fontId="34" fillId="0" borderId="0" xfId="0" applyFont="1" applyAlignment="1"/>
    <xf numFmtId="0" fontId="32" fillId="0" borderId="0" xfId="0" applyFont="1" applyAlignment="1" applyProtection="1">
      <alignment horizontal="right"/>
    </xf>
    <xf numFmtId="0" fontId="32" fillId="0" borderId="0" xfId="0" applyFont="1" applyProtection="1"/>
    <xf numFmtId="171" fontId="18" fillId="0" borderId="4" xfId="0" applyNumberFormat="1" applyFont="1" applyFill="1" applyBorder="1" applyProtection="1"/>
    <xf numFmtId="172" fontId="18" fillId="0" borderId="16" xfId="2" applyNumberFormat="1" applyFont="1" applyFill="1" applyBorder="1" applyProtection="1"/>
    <xf numFmtId="172" fontId="18" fillId="0" borderId="0" xfId="2" applyNumberFormat="1" applyFont="1" applyFill="1" applyBorder="1" applyProtection="1"/>
    <xf numFmtId="0" fontId="20" fillId="0" borderId="12" xfId="0" applyFont="1" applyFill="1" applyBorder="1" applyAlignment="1" applyProtection="1">
      <alignment vertical="center"/>
    </xf>
    <xf numFmtId="0" fontId="19" fillId="0" borderId="12" xfId="0" applyFont="1" applyFill="1" applyBorder="1" applyAlignment="1" applyProtection="1">
      <alignment vertical="center"/>
    </xf>
    <xf numFmtId="0" fontId="20" fillId="0" borderId="12" xfId="0" applyNumberFormat="1" applyFont="1" applyFill="1" applyBorder="1" applyAlignment="1" applyProtection="1">
      <alignment vertical="center"/>
    </xf>
    <xf numFmtId="14" fontId="19" fillId="0" borderId="12" xfId="0" applyNumberFormat="1" applyFont="1" applyFill="1" applyBorder="1" applyAlignment="1" applyProtection="1">
      <alignment horizontal="left" vertical="center"/>
    </xf>
    <xf numFmtId="14" fontId="20" fillId="0" borderId="12" xfId="0" applyNumberFormat="1" applyFont="1" applyFill="1" applyBorder="1" applyAlignment="1" applyProtection="1">
      <alignment horizontal="left" vertical="center"/>
    </xf>
    <xf numFmtId="3" fontId="23" fillId="0" borderId="1" xfId="0" applyNumberFormat="1" applyFont="1" applyFill="1" applyBorder="1" applyAlignment="1" applyProtection="1">
      <alignment wrapText="1"/>
    </xf>
    <xf numFmtId="3" fontId="23" fillId="0" borderId="1" xfId="0" applyNumberFormat="1" applyFont="1" applyFill="1" applyBorder="1" applyAlignment="1" applyProtection="1">
      <alignment horizontal="right"/>
    </xf>
    <xf numFmtId="0" fontId="35" fillId="0" borderId="0" xfId="0" applyFont="1" applyProtection="1"/>
    <xf numFmtId="0" fontId="23" fillId="0" borderId="1" xfId="0" applyFont="1" applyBorder="1" applyProtection="1"/>
    <xf numFmtId="2" fontId="21" fillId="0" borderId="0" xfId="0" applyNumberFormat="1" applyFont="1" applyProtection="1"/>
    <xf numFmtId="0" fontId="23" fillId="0" borderId="0" xfId="0" applyFont="1" applyFill="1" applyBorder="1" applyAlignment="1" applyProtection="1">
      <alignment horizontal="left"/>
    </xf>
    <xf numFmtId="0" fontId="20" fillId="0" borderId="0" xfId="0" applyFont="1" applyFill="1" applyProtection="1"/>
    <xf numFmtId="0" fontId="20" fillId="0" borderId="0" xfId="0" applyFont="1" applyFill="1" applyBorder="1" applyProtection="1"/>
    <xf numFmtId="165" fontId="20" fillId="0" borderId="0" xfId="0" applyNumberFormat="1" applyFont="1" applyFill="1" applyBorder="1" applyProtection="1"/>
    <xf numFmtId="2" fontId="24" fillId="0" borderId="0" xfId="0" applyNumberFormat="1" applyFont="1" applyFill="1" applyBorder="1" applyProtection="1"/>
    <xf numFmtId="2" fontId="27" fillId="0" borderId="0" xfId="0" applyNumberFormat="1" applyFont="1" applyProtection="1"/>
    <xf numFmtId="0" fontId="30" fillId="0" borderId="0" xfId="0" applyFont="1" applyAlignment="1" applyProtection="1">
      <alignment vertical="center"/>
    </xf>
    <xf numFmtId="2" fontId="30" fillId="0" borderId="12" xfId="0" applyNumberFormat="1" applyFont="1" applyFill="1" applyBorder="1" applyAlignment="1" applyProtection="1">
      <alignment vertical="center"/>
    </xf>
    <xf numFmtId="0" fontId="36" fillId="4" borderId="0" xfId="0" applyFont="1" applyFill="1" applyBorder="1" applyProtection="1"/>
    <xf numFmtId="0" fontId="36" fillId="4" borderId="1" xfId="0" applyFont="1" applyFill="1" applyBorder="1" applyAlignment="1" applyProtection="1">
      <alignment horizontal="right"/>
    </xf>
    <xf numFmtId="0" fontId="36" fillId="4" borderId="1" xfId="0" applyFont="1" applyFill="1" applyBorder="1" applyProtection="1"/>
    <xf numFmtId="171" fontId="21" fillId="0" borderId="0" xfId="0" applyNumberFormat="1" applyFont="1" applyProtection="1"/>
    <xf numFmtId="0" fontId="21" fillId="0" borderId="24" xfId="0" applyFont="1" applyFill="1" applyBorder="1" applyProtection="1"/>
    <xf numFmtId="0" fontId="21" fillId="0" borderId="1" xfId="0" applyFont="1" applyFill="1" applyBorder="1" applyProtection="1"/>
    <xf numFmtId="3" fontId="18" fillId="0" borderId="0" xfId="0" applyNumberFormat="1" applyFont="1" applyFill="1" applyBorder="1" applyAlignment="1" applyProtection="1">
      <alignment vertical="top" wrapText="1"/>
    </xf>
    <xf numFmtId="3" fontId="18" fillId="0" borderId="15" xfId="0" applyNumberFormat="1" applyFont="1" applyFill="1" applyBorder="1" applyProtection="1"/>
    <xf numFmtId="0" fontId="19" fillId="0" borderId="15" xfId="0" applyFont="1" applyFill="1" applyBorder="1" applyProtection="1"/>
    <xf numFmtId="0" fontId="19" fillId="0" borderId="10" xfId="0" applyFont="1" applyFill="1" applyBorder="1" applyProtection="1"/>
    <xf numFmtId="0" fontId="34" fillId="0" borderId="0" xfId="0" applyFont="1" applyAlignment="1" applyProtection="1"/>
    <xf numFmtId="0" fontId="36" fillId="4" borderId="10" xfId="0" applyFont="1" applyFill="1" applyBorder="1" applyAlignment="1" applyProtection="1">
      <alignment horizontal="right"/>
    </xf>
    <xf numFmtId="0" fontId="19" fillId="0" borderId="14" xfId="0" applyFont="1" applyBorder="1" applyProtection="1"/>
    <xf numFmtId="0" fontId="19" fillId="0" borderId="12" xfId="0" applyFont="1" applyBorder="1" applyAlignment="1" applyProtection="1">
      <alignment horizontal="right"/>
    </xf>
    <xf numFmtId="0" fontId="19" fillId="0" borderId="35" xfId="0" applyFont="1" applyBorder="1" applyProtection="1"/>
    <xf numFmtId="165" fontId="19" fillId="0" borderId="21" xfId="0" applyNumberFormat="1" applyFont="1" applyFill="1" applyBorder="1" applyProtection="1"/>
    <xf numFmtId="0" fontId="19" fillId="0" borderId="15" xfId="0" applyFont="1" applyBorder="1" applyProtection="1"/>
    <xf numFmtId="0" fontId="36" fillId="4" borderId="26" xfId="0" applyFont="1" applyFill="1" applyBorder="1" applyProtection="1"/>
    <xf numFmtId="0" fontId="36" fillId="4" borderId="31" xfId="0" applyFont="1" applyFill="1" applyBorder="1" applyProtection="1"/>
    <xf numFmtId="0" fontId="17" fillId="0" borderId="31" xfId="0" applyFont="1" applyFill="1" applyBorder="1" applyProtection="1"/>
    <xf numFmtId="0" fontId="19" fillId="0" borderId="28" xfId="0" applyFont="1" applyFill="1" applyBorder="1" applyProtection="1"/>
    <xf numFmtId="0" fontId="19" fillId="0" borderId="33" xfId="0" applyFont="1" applyFill="1" applyBorder="1" applyProtection="1"/>
    <xf numFmtId="0" fontId="19" fillId="0" borderId="25" xfId="0" applyFont="1" applyFill="1" applyBorder="1" applyProtection="1"/>
    <xf numFmtId="0" fontId="19" fillId="0" borderId="30" xfId="0" applyFont="1" applyFill="1" applyBorder="1" applyProtection="1"/>
    <xf numFmtId="3" fontId="19" fillId="0" borderId="36" xfId="0" applyNumberFormat="1" applyFont="1" applyFill="1" applyBorder="1" applyProtection="1"/>
    <xf numFmtId="0" fontId="17" fillId="0" borderId="3" xfId="0" applyFont="1" applyFill="1" applyBorder="1" applyProtection="1"/>
    <xf numFmtId="0" fontId="19" fillId="0" borderId="11" xfId="0" applyFont="1" applyFill="1" applyBorder="1" applyAlignment="1" applyProtection="1">
      <alignment horizontal="right"/>
    </xf>
    <xf numFmtId="9" fontId="17" fillId="0" borderId="11" xfId="1" applyFont="1" applyFill="1" applyBorder="1" applyProtection="1"/>
    <xf numFmtId="171" fontId="17" fillId="0" borderId="11" xfId="0" applyNumberFormat="1" applyFont="1" applyFill="1" applyBorder="1" applyProtection="1"/>
    <xf numFmtId="0" fontId="21" fillId="0" borderId="12" xfId="0" applyFont="1" applyBorder="1" applyProtection="1"/>
    <xf numFmtId="0" fontId="19" fillId="0" borderId="12" xfId="0" applyFont="1" applyFill="1" applyBorder="1" applyAlignment="1" applyProtection="1">
      <alignment horizontal="right"/>
    </xf>
    <xf numFmtId="9" fontId="17" fillId="0" borderId="12" xfId="1" applyFont="1" applyFill="1" applyBorder="1" applyProtection="1"/>
    <xf numFmtId="171" fontId="17" fillId="0" borderId="12" xfId="0" applyNumberFormat="1" applyFont="1" applyFill="1" applyBorder="1" applyProtection="1"/>
    <xf numFmtId="0" fontId="17" fillId="0" borderId="2" xfId="0" applyFont="1" applyFill="1" applyBorder="1" applyProtection="1"/>
    <xf numFmtId="171" fontId="17" fillId="0" borderId="2" xfId="0" applyNumberFormat="1" applyFont="1" applyFill="1" applyBorder="1" applyProtection="1"/>
    <xf numFmtId="0" fontId="17" fillId="0" borderId="17" xfId="0" applyFont="1" applyFill="1" applyBorder="1" applyAlignment="1" applyProtection="1">
      <alignment horizontal="right"/>
    </xf>
    <xf numFmtId="0" fontId="17" fillId="0" borderId="17" xfId="0" applyFont="1" applyFill="1" applyBorder="1" applyProtection="1"/>
    <xf numFmtId="3" fontId="17" fillId="5" borderId="0" xfId="0" applyNumberFormat="1" applyFont="1" applyFill="1" applyBorder="1" applyProtection="1">
      <protection locked="0"/>
    </xf>
    <xf numFmtId="3" fontId="17" fillId="5" borderId="15" xfId="0" applyNumberFormat="1" applyFont="1" applyFill="1" applyBorder="1" applyProtection="1">
      <protection locked="0"/>
    </xf>
    <xf numFmtId="3" fontId="17" fillId="5" borderId="16" xfId="0" applyNumberFormat="1" applyFont="1" applyFill="1" applyBorder="1" applyProtection="1">
      <protection locked="0"/>
    </xf>
    <xf numFmtId="172" fontId="37" fillId="0" borderId="16" xfId="2" applyNumberFormat="1" applyFont="1" applyFill="1" applyBorder="1" applyProtection="1"/>
    <xf numFmtId="3" fontId="37" fillId="0" borderId="0" xfId="0" applyNumberFormat="1" applyFont="1" applyFill="1" applyBorder="1" applyProtection="1"/>
    <xf numFmtId="3" fontId="37" fillId="0" borderId="1" xfId="0" applyNumberFormat="1" applyFont="1" applyFill="1" applyBorder="1" applyProtection="1"/>
    <xf numFmtId="172" fontId="37" fillId="0" borderId="0" xfId="2" applyNumberFormat="1" applyFont="1" applyFill="1" applyBorder="1" applyProtection="1"/>
    <xf numFmtId="2" fontId="37" fillId="0" borderId="0" xfId="0" applyNumberFormat="1" applyFont="1" applyFill="1" applyBorder="1" applyProtection="1"/>
    <xf numFmtId="0" fontId="37" fillId="0" borderId="1" xfId="0" applyFont="1" applyFill="1" applyBorder="1" applyProtection="1"/>
    <xf numFmtId="0" fontId="37" fillId="0" borderId="0" xfId="0" applyFont="1" applyFill="1" applyBorder="1" applyProtection="1"/>
    <xf numFmtId="3" fontId="18" fillId="0" borderId="13" xfId="0" applyNumberFormat="1" applyFont="1" applyFill="1" applyBorder="1" applyProtection="1"/>
    <xf numFmtId="0" fontId="30" fillId="0" borderId="0" xfId="0" applyFont="1" applyProtection="1"/>
    <xf numFmtId="0" fontId="30" fillId="0" borderId="0" xfId="0" applyFont="1" applyFill="1" applyProtection="1"/>
    <xf numFmtId="3" fontId="31" fillId="0" borderId="0" xfId="0" applyNumberFormat="1" applyFont="1" applyFill="1" applyBorder="1" applyProtection="1"/>
    <xf numFmtId="171" fontId="29" fillId="0" borderId="10" xfId="0" applyNumberFormat="1" applyFont="1" applyFill="1" applyBorder="1" applyProtection="1"/>
    <xf numFmtId="3" fontId="17" fillId="2" borderId="26" xfId="0" applyNumberFormat="1" applyFont="1" applyFill="1" applyBorder="1" applyProtection="1"/>
    <xf numFmtId="0" fontId="38" fillId="0" borderId="0" xfId="0" applyFont="1" applyAlignment="1">
      <alignment wrapText="1"/>
    </xf>
    <xf numFmtId="49" fontId="38" fillId="0" borderId="0" xfId="0" applyNumberFormat="1" applyFont="1"/>
    <xf numFmtId="0" fontId="40" fillId="0" borderId="0" xfId="0" applyFont="1" applyAlignment="1">
      <alignment wrapText="1"/>
    </xf>
    <xf numFmtId="0" fontId="21" fillId="0" borderId="0" xfId="0" applyFont="1" applyAlignment="1">
      <alignment wrapText="1"/>
    </xf>
    <xf numFmtId="0" fontId="41" fillId="0" borderId="0" xfId="0" applyFont="1" applyAlignment="1">
      <alignment wrapText="1"/>
    </xf>
    <xf numFmtId="0" fontId="42" fillId="0" borderId="0" xfId="0" applyFont="1" applyAlignment="1">
      <alignment wrapText="1"/>
    </xf>
    <xf numFmtId="0" fontId="38" fillId="5" borderId="0" xfId="0" applyFont="1" applyFill="1" applyAlignment="1">
      <alignment wrapText="1"/>
    </xf>
    <xf numFmtId="0" fontId="33" fillId="0" borderId="0" xfId="0" applyFont="1"/>
    <xf numFmtId="49" fontId="38" fillId="0" borderId="0" xfId="0" applyNumberFormat="1" applyFont="1" applyAlignment="1">
      <alignment wrapText="1"/>
    </xf>
    <xf numFmtId="0" fontId="43" fillId="0" borderId="0" xfId="7">
      <alignment wrapText="1"/>
    </xf>
    <xf numFmtId="0" fontId="43" fillId="0" borderId="0" xfId="7" applyFont="1">
      <alignment wrapText="1"/>
    </xf>
    <xf numFmtId="0" fontId="41" fillId="0" borderId="0" xfId="8">
      <alignment wrapText="1"/>
    </xf>
    <xf numFmtId="49" fontId="38" fillId="0" borderId="0" xfId="9">
      <alignment vertical="top" wrapText="1"/>
    </xf>
    <xf numFmtId="49" fontId="38" fillId="0" borderId="0" xfId="9" applyAlignment="1">
      <alignment vertical="top" wrapText="1"/>
    </xf>
    <xf numFmtId="0" fontId="41" fillId="0" borderId="0" xfId="8" applyFont="1">
      <alignment wrapText="1"/>
    </xf>
    <xf numFmtId="49" fontId="44" fillId="0" borderId="0" xfId="0" applyNumberFormat="1" applyFont="1" applyAlignment="1">
      <alignment wrapText="1"/>
    </xf>
    <xf numFmtId="9" fontId="21" fillId="0" borderId="0" xfId="1" applyFont="1" applyProtection="1"/>
    <xf numFmtId="9" fontId="21" fillId="0" borderId="0" xfId="0" applyNumberFormat="1" applyFont="1" applyProtection="1"/>
    <xf numFmtId="9" fontId="21" fillId="0" borderId="0" xfId="0" applyNumberFormat="1" applyFont="1" applyAlignment="1" applyProtection="1">
      <alignment horizontal="right"/>
    </xf>
    <xf numFmtId="9" fontId="21" fillId="0" borderId="0" xfId="1" applyNumberFormat="1" applyFont="1" applyAlignment="1" applyProtection="1">
      <alignment horizontal="right"/>
    </xf>
    <xf numFmtId="0" fontId="23" fillId="0" borderId="0" xfId="0" applyFont="1" applyProtection="1"/>
    <xf numFmtId="0" fontId="21" fillId="0" borderId="0" xfId="0" applyFont="1" applyAlignment="1" applyProtection="1">
      <alignment vertical="center"/>
    </xf>
    <xf numFmtId="0" fontId="40" fillId="0" borderId="0" xfId="0" applyFont="1" applyAlignment="1" applyProtection="1">
      <alignment wrapText="1"/>
    </xf>
    <xf numFmtId="3" fontId="21" fillId="0" borderId="0" xfId="0" applyNumberFormat="1" applyFont="1" applyAlignment="1" applyProtection="1">
      <alignment horizontal="left" vertical="center"/>
    </xf>
    <xf numFmtId="2" fontId="21" fillId="0" borderId="0" xfId="0" applyNumberFormat="1" applyFont="1" applyAlignment="1" applyProtection="1">
      <alignment horizontal="right"/>
    </xf>
    <xf numFmtId="169" fontId="21" fillId="0" borderId="0" xfId="2" applyNumberFormat="1" applyFont="1" applyAlignment="1" applyProtection="1">
      <alignment vertical="center"/>
    </xf>
    <xf numFmtId="3" fontId="21" fillId="0" borderId="0" xfId="0" applyNumberFormat="1" applyFont="1" applyAlignment="1" applyProtection="1">
      <alignment vertical="center"/>
    </xf>
    <xf numFmtId="165" fontId="21" fillId="0" borderId="0" xfId="0" applyNumberFormat="1" applyFont="1" applyProtection="1"/>
    <xf numFmtId="165" fontId="21" fillId="0" borderId="0" xfId="0" applyNumberFormat="1" applyFont="1" applyAlignment="1" applyProtection="1">
      <alignment horizontal="right"/>
    </xf>
    <xf numFmtId="170" fontId="21" fillId="0" borderId="0" xfId="2" applyNumberFormat="1" applyFont="1" applyProtection="1"/>
    <xf numFmtId="0" fontId="40" fillId="0" borderId="0" xfId="0" applyFont="1" applyProtection="1"/>
    <xf numFmtId="3" fontId="40" fillId="0" borderId="0" xfId="0" applyNumberFormat="1" applyFont="1" applyProtection="1"/>
    <xf numFmtId="165" fontId="40" fillId="0" borderId="0" xfId="0" applyNumberFormat="1" applyFont="1" applyProtection="1"/>
    <xf numFmtId="166" fontId="21" fillId="0" borderId="0" xfId="0" applyNumberFormat="1" applyFont="1" applyAlignment="1" applyProtection="1">
      <alignment horizontal="right"/>
    </xf>
    <xf numFmtId="0" fontId="29" fillId="3" borderId="0" xfId="10"/>
    <xf numFmtId="0" fontId="29" fillId="3" borderId="0" xfId="10" applyBorder="1"/>
    <xf numFmtId="49" fontId="46" fillId="0" borderId="0" xfId="9" applyFont="1" applyAlignment="1">
      <alignment vertical="top" wrapText="1"/>
    </xf>
    <xf numFmtId="9" fontId="17" fillId="0" borderId="0" xfId="1" applyFont="1" applyFill="1" applyBorder="1" applyProtection="1"/>
    <xf numFmtId="171" fontId="17" fillId="0" borderId="0" xfId="0" applyNumberFormat="1" applyFont="1" applyFill="1" applyBorder="1" applyProtection="1"/>
    <xf numFmtId="0" fontId="19" fillId="0" borderId="37" xfId="0" applyFont="1" applyFill="1" applyBorder="1" applyProtection="1"/>
    <xf numFmtId="0" fontId="21" fillId="0" borderId="37" xfId="0" applyFont="1" applyBorder="1" applyProtection="1"/>
    <xf numFmtId="0" fontId="19" fillId="0" borderId="37" xfId="0" applyFont="1" applyFill="1" applyBorder="1" applyAlignment="1" applyProtection="1">
      <alignment horizontal="right"/>
    </xf>
    <xf numFmtId="9" fontId="17" fillId="5" borderId="37" xfId="1" applyFont="1" applyFill="1" applyBorder="1" applyProtection="1"/>
    <xf numFmtId="3" fontId="17" fillId="0" borderId="37" xfId="0" applyNumberFormat="1" applyFont="1" applyFill="1" applyBorder="1" applyProtection="1"/>
    <xf numFmtId="9" fontId="17" fillId="5" borderId="12" xfId="1" applyFont="1" applyFill="1" applyBorder="1" applyProtection="1"/>
    <xf numFmtId="3" fontId="17" fillId="0" borderId="12" xfId="0" applyNumberFormat="1" applyFont="1" applyFill="1" applyBorder="1" applyProtection="1"/>
    <xf numFmtId="0" fontId="36" fillId="4" borderId="0" xfId="0" applyFont="1" applyFill="1" applyBorder="1" applyAlignment="1" applyProtection="1">
      <alignment horizontal="right"/>
    </xf>
    <xf numFmtId="0" fontId="19" fillId="0" borderId="36" xfId="0" applyFont="1" applyFill="1" applyBorder="1" applyProtection="1"/>
    <xf numFmtId="0" fontId="21" fillId="0" borderId="36" xfId="0" applyFont="1" applyBorder="1" applyProtection="1"/>
    <xf numFmtId="0" fontId="19" fillId="0" borderId="36" xfId="0" applyFont="1" applyFill="1" applyBorder="1" applyAlignment="1" applyProtection="1">
      <alignment horizontal="right"/>
    </xf>
    <xf numFmtId="3" fontId="17" fillId="0" borderId="36" xfId="0" applyNumberFormat="1" applyFont="1" applyFill="1" applyBorder="1" applyProtection="1"/>
    <xf numFmtId="0" fontId="17" fillId="0" borderId="4" xfId="0" applyFont="1" applyFill="1" applyBorder="1" applyProtection="1"/>
    <xf numFmtId="0" fontId="19" fillId="0" borderId="4" xfId="0" applyFont="1" applyFill="1" applyBorder="1" applyProtection="1"/>
    <xf numFmtId="0" fontId="21" fillId="0" borderId="4" xfId="0" applyFont="1" applyBorder="1" applyProtection="1"/>
    <xf numFmtId="0" fontId="19" fillId="0" borderId="4" xfId="0" applyFont="1" applyFill="1" applyBorder="1" applyAlignment="1" applyProtection="1">
      <alignment horizontal="right"/>
    </xf>
    <xf numFmtId="3" fontId="17" fillId="0" borderId="4" xfId="0" applyNumberFormat="1" applyFont="1" applyFill="1" applyBorder="1" applyProtection="1"/>
    <xf numFmtId="3" fontId="47" fillId="0" borderId="4" xfId="0" applyNumberFormat="1" applyFont="1" applyFill="1" applyBorder="1" applyProtection="1"/>
    <xf numFmtId="0" fontId="20" fillId="0" borderId="0" xfId="0" applyFont="1" applyAlignment="1" applyProtection="1">
      <alignment horizontal="right" vertical="top"/>
    </xf>
    <xf numFmtId="0" fontId="20" fillId="0" borderId="0" xfId="0" applyFont="1" applyAlignment="1" applyProtection="1">
      <alignment horizontal="left" vertical="top"/>
    </xf>
    <xf numFmtId="0" fontId="48" fillId="0" borderId="0" xfId="3" applyFont="1" applyProtection="1"/>
    <xf numFmtId="0" fontId="49" fillId="0" borderId="0" xfId="3" applyFont="1" applyProtection="1"/>
    <xf numFmtId="0" fontId="48" fillId="0" borderId="0" xfId="3" applyFont="1" applyFill="1" applyProtection="1"/>
    <xf numFmtId="0" fontId="48" fillId="0" borderId="2" xfId="3" applyFont="1" applyBorder="1" applyProtection="1"/>
    <xf numFmtId="0" fontId="48" fillId="0" borderId="4" xfId="3" applyFont="1" applyBorder="1" applyProtection="1"/>
    <xf numFmtId="167" fontId="48" fillId="0" borderId="0" xfId="3" applyNumberFormat="1" applyFont="1" applyFill="1" applyProtection="1"/>
    <xf numFmtId="0" fontId="48" fillId="0" borderId="2" xfId="3" applyFont="1" applyFill="1" applyBorder="1" applyProtection="1"/>
    <xf numFmtId="0" fontId="48" fillId="0" borderId="0" xfId="3" applyFont="1" applyFill="1" applyBorder="1" applyProtection="1"/>
    <xf numFmtId="167" fontId="48" fillId="0" borderId="0" xfId="3" applyNumberFormat="1" applyFont="1" applyFill="1" applyBorder="1" applyProtection="1"/>
    <xf numFmtId="167" fontId="48" fillId="0" borderId="2" xfId="3" applyNumberFormat="1" applyFont="1" applyFill="1" applyBorder="1" applyProtection="1"/>
    <xf numFmtId="168" fontId="48" fillId="0" borderId="2" xfId="3" applyNumberFormat="1" applyFont="1" applyFill="1" applyBorder="1" applyProtection="1"/>
    <xf numFmtId="0" fontId="48" fillId="0" borderId="4" xfId="3" applyFont="1" applyFill="1" applyBorder="1" applyProtection="1"/>
    <xf numFmtId="168" fontId="48" fillId="0" borderId="4" xfId="3" applyNumberFormat="1" applyFont="1" applyFill="1" applyBorder="1" applyProtection="1"/>
    <xf numFmtId="168" fontId="48" fillId="0" borderId="4" xfId="3" applyNumberFormat="1" applyFont="1" applyBorder="1" applyProtection="1"/>
    <xf numFmtId="0" fontId="48" fillId="0" borderId="0" xfId="3" applyFont="1" applyBorder="1" applyProtection="1"/>
    <xf numFmtId="168" fontId="48" fillId="0" borderId="0" xfId="3" applyNumberFormat="1" applyFont="1" applyProtection="1"/>
    <xf numFmtId="168" fontId="48" fillId="0" borderId="0" xfId="3" applyNumberFormat="1" applyFont="1" applyFill="1" applyProtection="1"/>
    <xf numFmtId="4" fontId="48" fillId="0" borderId="0" xfId="3" applyNumberFormat="1" applyFont="1" applyFill="1" applyProtection="1"/>
    <xf numFmtId="0" fontId="48" fillId="0" borderId="0" xfId="3" applyFont="1" applyAlignment="1" applyProtection="1">
      <alignment horizontal="left" indent="1"/>
    </xf>
    <xf numFmtId="0" fontId="50" fillId="0" borderId="0" xfId="3" applyFont="1" applyProtection="1"/>
    <xf numFmtId="0" fontId="50" fillId="0" borderId="0" xfId="3" applyFont="1" applyProtection="1">
      <protection locked="0"/>
    </xf>
    <xf numFmtId="0" fontId="50" fillId="0" borderId="0" xfId="3" applyFont="1" applyAlignment="1" applyProtection="1">
      <alignment horizontal="center" vertical="top" wrapText="1"/>
    </xf>
    <xf numFmtId="0" fontId="50" fillId="0" borderId="2" xfId="3" applyFont="1" applyBorder="1" applyProtection="1"/>
    <xf numFmtId="4" fontId="50" fillId="0" borderId="2" xfId="3" applyNumberFormat="1" applyFont="1" applyFill="1" applyBorder="1" applyAlignment="1" applyProtection="1">
      <alignment horizontal="right"/>
    </xf>
    <xf numFmtId="0" fontId="50" fillId="0" borderId="4" xfId="3" applyFont="1" applyBorder="1" applyProtection="1"/>
    <xf numFmtId="0" fontId="50" fillId="0" borderId="0" xfId="3" applyFont="1" applyAlignment="1" applyProtection="1">
      <alignment horizontal="left" vertical="top" wrapText="1"/>
    </xf>
    <xf numFmtId="0" fontId="50" fillId="0" borderId="0" xfId="3" applyFont="1" applyFill="1" applyAlignment="1" applyProtection="1">
      <alignment horizontal="center" vertical="top" wrapText="1"/>
    </xf>
    <xf numFmtId="0" fontId="50" fillId="0" borderId="0" xfId="3" applyFont="1" applyAlignment="1" applyProtection="1">
      <alignment horizontal="center" vertical="top" wrapText="1"/>
      <protection locked="0"/>
    </xf>
    <xf numFmtId="0" fontId="51" fillId="0" borderId="2" xfId="3" applyFont="1" applyBorder="1" applyAlignment="1" applyProtection="1">
      <alignment horizontal="right"/>
    </xf>
    <xf numFmtId="0" fontId="50" fillId="0" borderId="0" xfId="3" applyFont="1" applyFill="1" applyAlignment="1" applyProtection="1">
      <alignment horizontal="left"/>
    </xf>
    <xf numFmtId="0" fontId="50" fillId="5" borderId="4" xfId="3" applyFont="1" applyFill="1" applyBorder="1" applyProtection="1">
      <protection locked="0"/>
    </xf>
    <xf numFmtId="0" fontId="48" fillId="0" borderId="11" xfId="3" applyFont="1" applyBorder="1" applyProtection="1"/>
    <xf numFmtId="0" fontId="48" fillId="0" borderId="11" xfId="3" applyFont="1" applyFill="1" applyBorder="1" applyProtection="1"/>
    <xf numFmtId="167" fontId="48" fillId="0" borderId="11" xfId="3" applyNumberFormat="1" applyFont="1" applyFill="1" applyBorder="1" applyProtection="1"/>
    <xf numFmtId="0" fontId="48" fillId="0" borderId="12" xfId="3" applyFont="1" applyBorder="1" applyProtection="1"/>
    <xf numFmtId="0" fontId="48" fillId="0" borderId="12" xfId="3" applyFont="1" applyFill="1" applyBorder="1" applyProtection="1"/>
    <xf numFmtId="167" fontId="48" fillId="0" borderId="12" xfId="3" applyNumberFormat="1" applyFont="1" applyFill="1" applyBorder="1" applyProtection="1"/>
    <xf numFmtId="167" fontId="48" fillId="0" borderId="12" xfId="3" applyNumberFormat="1" applyFont="1" applyBorder="1" applyProtection="1"/>
    <xf numFmtId="167" fontId="48" fillId="0" borderId="12" xfId="3" applyNumberFormat="1" applyFont="1" applyBorder="1" applyProtection="1">
      <protection locked="0"/>
    </xf>
    <xf numFmtId="167" fontId="48" fillId="5" borderId="12" xfId="3" applyNumberFormat="1" applyFont="1" applyFill="1" applyBorder="1" applyProtection="1">
      <protection locked="0"/>
    </xf>
    <xf numFmtId="167" fontId="48" fillId="5" borderId="2" xfId="3" applyNumberFormat="1" applyFont="1" applyFill="1" applyBorder="1" applyProtection="1">
      <protection locked="0"/>
    </xf>
    <xf numFmtId="0" fontId="52" fillId="0" borderId="4" xfId="3" applyFont="1" applyBorder="1" applyProtection="1"/>
    <xf numFmtId="42" fontId="52" fillId="0" borderId="4" xfId="3" applyNumberFormat="1" applyFont="1" applyFill="1" applyBorder="1" applyProtection="1"/>
    <xf numFmtId="0" fontId="52" fillId="0" borderId="0" xfId="3" applyFont="1" applyAlignment="1" applyProtection="1">
      <alignment horizontal="center" vertical="top" wrapText="1"/>
      <protection locked="0"/>
    </xf>
    <xf numFmtId="0" fontId="53" fillId="0" borderId="0" xfId="3" applyFont="1" applyBorder="1" applyProtection="1">
      <protection locked="0"/>
    </xf>
    <xf numFmtId="42" fontId="53" fillId="0" borderId="0" xfId="3" applyNumberFormat="1" applyFont="1" applyBorder="1" applyProtection="1">
      <protection locked="0"/>
    </xf>
    <xf numFmtId="42" fontId="53" fillId="0" borderId="0" xfId="3" applyNumberFormat="1" applyFont="1" applyFill="1" applyBorder="1" applyProtection="1">
      <protection locked="0"/>
    </xf>
    <xf numFmtId="0" fontId="53" fillId="0" borderId="0" xfId="3" applyFont="1" applyProtection="1">
      <protection locked="0"/>
    </xf>
    <xf numFmtId="168" fontId="49" fillId="0" borderId="0" xfId="3" applyNumberFormat="1" applyFont="1" applyFill="1" applyBorder="1" applyProtection="1"/>
    <xf numFmtId="0" fontId="19" fillId="0" borderId="4" xfId="0" applyFont="1" applyBorder="1" applyProtection="1"/>
    <xf numFmtId="0" fontId="20" fillId="0" borderId="4" xfId="0" applyFont="1" applyBorder="1" applyProtection="1"/>
    <xf numFmtId="171" fontId="47" fillId="0" borderId="4" xfId="0" applyNumberFormat="1" applyFont="1" applyFill="1" applyBorder="1" applyProtection="1"/>
    <xf numFmtId="0" fontId="36" fillId="4" borderId="19" xfId="0" applyFont="1" applyFill="1" applyBorder="1" applyAlignment="1" applyProtection="1">
      <alignment horizontal="right"/>
    </xf>
    <xf numFmtId="49" fontId="20" fillId="0" borderId="0" xfId="0" applyNumberFormat="1" applyFont="1" applyAlignment="1" applyProtection="1">
      <alignment horizontal="left" vertical="top"/>
    </xf>
    <xf numFmtId="3" fontId="17" fillId="5" borderId="13" xfId="0" applyNumberFormat="1" applyFont="1" applyFill="1" applyBorder="1" applyAlignment="1" applyProtection="1">
      <alignment vertical="top" wrapText="1"/>
      <protection locked="0"/>
    </xf>
    <xf numFmtId="3" fontId="17" fillId="5" borderId="11" xfId="0" applyNumberFormat="1" applyFont="1" applyFill="1" applyBorder="1" applyAlignment="1" applyProtection="1">
      <alignment vertical="top" wrapText="1"/>
      <protection locked="0"/>
    </xf>
    <xf numFmtId="3" fontId="17" fillId="5" borderId="14" xfId="0" applyNumberFormat="1" applyFont="1" applyFill="1" applyBorder="1" applyAlignment="1" applyProtection="1">
      <alignment vertical="top" wrapText="1"/>
      <protection locked="0"/>
    </xf>
    <xf numFmtId="3" fontId="17" fillId="5" borderId="13" xfId="0" applyNumberFormat="1" applyFont="1" applyFill="1" applyBorder="1" applyAlignment="1" applyProtection="1">
      <alignment horizontal="left" vertical="top" wrapText="1"/>
      <protection locked="0"/>
    </xf>
    <xf numFmtId="3" fontId="17" fillId="5" borderId="11" xfId="0" applyNumberFormat="1" applyFont="1" applyFill="1" applyBorder="1" applyAlignment="1" applyProtection="1">
      <alignment horizontal="left" vertical="top" wrapText="1"/>
      <protection locked="0"/>
    </xf>
    <xf numFmtId="3" fontId="17" fillId="5" borderId="14" xfId="0" applyNumberFormat="1" applyFont="1" applyFill="1" applyBorder="1" applyAlignment="1" applyProtection="1">
      <alignment horizontal="left" vertical="top" wrapText="1"/>
      <protection locked="0"/>
    </xf>
    <xf numFmtId="3" fontId="17" fillId="0" borderId="13" xfId="0" applyNumberFormat="1" applyFont="1" applyFill="1" applyBorder="1" applyAlignment="1" applyProtection="1">
      <alignment vertical="top" wrapText="1"/>
    </xf>
    <xf numFmtId="3" fontId="17" fillId="0" borderId="11" xfId="0" applyNumberFormat="1" applyFont="1" applyFill="1" applyBorder="1" applyAlignment="1" applyProtection="1">
      <alignment vertical="top" wrapText="1"/>
    </xf>
    <xf numFmtId="3" fontId="17" fillId="0" borderId="14" xfId="0" applyNumberFormat="1" applyFont="1" applyFill="1" applyBorder="1" applyAlignment="1" applyProtection="1">
      <alignment vertical="top" wrapText="1"/>
    </xf>
    <xf numFmtId="3" fontId="17" fillId="0" borderId="13" xfId="0" applyNumberFormat="1" applyFont="1" applyFill="1" applyBorder="1" applyAlignment="1" applyProtection="1">
      <alignment horizontal="left" vertical="top" wrapText="1"/>
    </xf>
    <xf numFmtId="3" fontId="17" fillId="0" borderId="11" xfId="0" applyNumberFormat="1" applyFont="1" applyFill="1" applyBorder="1" applyAlignment="1" applyProtection="1">
      <alignment horizontal="left" vertical="top" wrapText="1"/>
    </xf>
    <xf numFmtId="3" fontId="17" fillId="0" borderId="14" xfId="0" applyNumberFormat="1" applyFont="1" applyFill="1" applyBorder="1" applyAlignment="1" applyProtection="1">
      <alignment horizontal="left" vertical="top" wrapText="1"/>
    </xf>
    <xf numFmtId="0" fontId="43" fillId="0" borderId="0" xfId="7" applyAlignment="1"/>
  </cellXfs>
  <cellStyles count="11">
    <cellStyle name="Besedilo" xfId="9" xr:uid="{00000000-0005-0000-0000-000000000000}"/>
    <cellStyle name="Comma" xfId="2" builtinId="3"/>
    <cellStyle name="Comma 2" xfId="6" xr:uid="{00000000-0005-0000-0000-000002000000}"/>
    <cellStyle name="Naslov" xfId="7" xr:uid="{00000000-0005-0000-0000-000003000000}"/>
    <cellStyle name="NASLOV IZRAČUN" xfId="10" xr:uid="{00000000-0005-0000-0000-000004000000}"/>
    <cellStyle name="Navadno 2" xfId="3" xr:uid="{00000000-0005-0000-0000-000005000000}"/>
    <cellStyle name="Navadno 2 2" xfId="4" xr:uid="{00000000-0005-0000-0000-000006000000}"/>
    <cellStyle name="Navadno 2 3" xfId="5" xr:uid="{00000000-0005-0000-0000-000007000000}"/>
    <cellStyle name="Normal" xfId="0" builtinId="0"/>
    <cellStyle name="Percent" xfId="1" builtinId="5"/>
    <cellStyle name="Podnaslov" xfId="8" xr:uid="{00000000-0005-0000-0000-00000A000000}"/>
  </cellStyles>
  <dxfs count="0"/>
  <tableStyles count="0" defaultTableStyle="TableStyleMedium9" defaultPivotStyle="PivotStyleLight16"/>
  <colors>
    <mruColors>
      <color rgb="FFF6DECE"/>
      <color rgb="FFF1CBB1"/>
      <color rgb="FFE6A376"/>
      <color rgb="FFE1AA85"/>
      <color rgb="FFFFFFCC"/>
      <color rgb="FFFFCCFF"/>
      <color rgb="FFCC00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ARHITEKTURA, DUP, KONSTRUKCIJE</a:t>
            </a:r>
          </a:p>
          <a:p>
            <a:pPr>
              <a:defRPr/>
            </a:pPr>
            <a:r>
              <a:rPr lang="sl-SI"/>
              <a:t>50.000 - 500.000</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scatterChart>
        <c:scatterStyle val="smoothMarker"/>
        <c:varyColors val="0"/>
        <c:ser>
          <c:idx val="0"/>
          <c:order val="0"/>
          <c:tx>
            <c:v>DUP</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PODATKI!$B$89:$B$94</c:f>
              <c:numCache>
                <c:formatCode>0.00</c:formatCode>
                <c:ptCount val="6"/>
                <c:pt idx="0" formatCode="General">
                  <c:v>0</c:v>
                </c:pt>
                <c:pt idx="1">
                  <c:v>2</c:v>
                </c:pt>
                <c:pt idx="2">
                  <c:v>1.5</c:v>
                </c:pt>
                <c:pt idx="3">
                  <c:v>0.88</c:v>
                </c:pt>
                <c:pt idx="4">
                  <c:v>0.65</c:v>
                </c:pt>
                <c:pt idx="5">
                  <c:v>0.5</c:v>
                </c:pt>
              </c:numCache>
            </c:numRef>
          </c:yVal>
          <c:smooth val="1"/>
          <c:extLst>
            <c:ext xmlns:c16="http://schemas.microsoft.com/office/drawing/2014/chart" uri="{C3380CC4-5D6E-409C-BE32-E72D297353CC}">
              <c16:uniqueId val="{00000000-6421-423D-BA48-780CA64082A3}"/>
            </c:ext>
          </c:extLst>
        </c:ser>
        <c:ser>
          <c:idx val="1"/>
          <c:order val="1"/>
          <c:tx>
            <c:v>ARHITEKTURA</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PODATKI!$C$89:$C$94</c:f>
              <c:numCache>
                <c:formatCode>0.00</c:formatCode>
                <c:ptCount val="6"/>
                <c:pt idx="0" formatCode="General">
                  <c:v>0</c:v>
                </c:pt>
                <c:pt idx="1">
                  <c:v>8</c:v>
                </c:pt>
                <c:pt idx="2">
                  <c:v>6.5</c:v>
                </c:pt>
                <c:pt idx="3">
                  <c:v>5</c:v>
                </c:pt>
                <c:pt idx="4">
                  <c:v>4.3499999999999996</c:v>
                </c:pt>
                <c:pt idx="5">
                  <c:v>4</c:v>
                </c:pt>
              </c:numCache>
            </c:numRef>
          </c:yVal>
          <c:smooth val="1"/>
          <c:extLst>
            <c:ext xmlns:c16="http://schemas.microsoft.com/office/drawing/2014/chart" uri="{C3380CC4-5D6E-409C-BE32-E72D297353CC}">
              <c16:uniqueId val="{00000001-6421-423D-BA48-780CA64082A3}"/>
            </c:ext>
          </c:extLst>
        </c:ser>
        <c:ser>
          <c:idx val="2"/>
          <c:order val="2"/>
          <c:tx>
            <c:v>KONSTRUKCIJE</c:v>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PODATKI!$D$89:$D$94</c:f>
              <c:numCache>
                <c:formatCode>0.00</c:formatCode>
                <c:ptCount val="6"/>
                <c:pt idx="0" formatCode="General">
                  <c:v>0</c:v>
                </c:pt>
                <c:pt idx="1">
                  <c:v>6</c:v>
                </c:pt>
                <c:pt idx="2" formatCode="General">
                  <c:v>5.3</c:v>
                </c:pt>
                <c:pt idx="3" formatCode="General">
                  <c:v>4.0999999999999996</c:v>
                </c:pt>
                <c:pt idx="4" formatCode="General">
                  <c:v>3.45</c:v>
                </c:pt>
                <c:pt idx="5">
                  <c:v>3</c:v>
                </c:pt>
              </c:numCache>
            </c:numRef>
          </c:yVal>
          <c:smooth val="1"/>
          <c:extLst>
            <c:ext xmlns:c16="http://schemas.microsoft.com/office/drawing/2014/chart" uri="{C3380CC4-5D6E-409C-BE32-E72D297353CC}">
              <c16:uniqueId val="{00000000-AD67-8C40-B71C-50AF3825374B}"/>
            </c:ext>
          </c:extLst>
        </c:ser>
        <c:dLbls>
          <c:showLegendKey val="0"/>
          <c:showVal val="0"/>
          <c:showCatName val="0"/>
          <c:showSerName val="0"/>
          <c:showPercent val="0"/>
          <c:showBubbleSize val="0"/>
        </c:dLbls>
        <c:axId val="1662926848"/>
        <c:axId val="1662917600"/>
      </c:scatterChart>
      <c:valAx>
        <c:axId val="166292684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17600"/>
        <c:crosses val="autoZero"/>
        <c:crossBetween val="midCat"/>
      </c:valAx>
      <c:valAx>
        <c:axId val="166291760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2684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TOPLOTNA ZAŠČITA, HRUP, POŽAR</a:t>
            </a:r>
          </a:p>
          <a:p>
            <a:pPr>
              <a:defRPr/>
            </a:pPr>
            <a:r>
              <a:rPr lang="sl-SI"/>
              <a:t>50.000 - 500.000</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scatterChart>
        <c:scatterStyle val="smoothMarker"/>
        <c:varyColors val="0"/>
        <c:ser>
          <c:idx val="0"/>
          <c:order val="0"/>
          <c:tx>
            <c:v>TOPLOTNA ZAŠČITA</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PODATKI!$E$89:$E$94</c:f>
              <c:numCache>
                <c:formatCode>0.00</c:formatCode>
                <c:ptCount val="6"/>
                <c:pt idx="0" formatCode="General">
                  <c:v>0</c:v>
                </c:pt>
                <c:pt idx="1">
                  <c:v>0.5</c:v>
                </c:pt>
                <c:pt idx="2" formatCode="General">
                  <c:v>0.4</c:v>
                </c:pt>
                <c:pt idx="3" formatCode="General">
                  <c:v>0.25</c:v>
                </c:pt>
                <c:pt idx="4" formatCode="General">
                  <c:v>0.15</c:v>
                </c:pt>
                <c:pt idx="5">
                  <c:v>7.0000000000000007E-2</c:v>
                </c:pt>
              </c:numCache>
            </c:numRef>
          </c:yVal>
          <c:smooth val="1"/>
          <c:extLst>
            <c:ext xmlns:c16="http://schemas.microsoft.com/office/drawing/2014/chart" uri="{C3380CC4-5D6E-409C-BE32-E72D297353CC}">
              <c16:uniqueId val="{00000000-0305-4C2D-A092-656AEB67FB2F}"/>
            </c:ext>
          </c:extLst>
        </c:ser>
        <c:ser>
          <c:idx val="1"/>
          <c:order val="1"/>
          <c:tx>
            <c:v>HRUP</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PODATKI!$F$89:$F$94</c:f>
              <c:numCache>
                <c:formatCode>0.00</c:formatCode>
                <c:ptCount val="6"/>
                <c:pt idx="0" formatCode="General">
                  <c:v>0</c:v>
                </c:pt>
                <c:pt idx="1">
                  <c:v>0.3</c:v>
                </c:pt>
                <c:pt idx="2" formatCode="General">
                  <c:v>0.22</c:v>
                </c:pt>
                <c:pt idx="3" formatCode="General">
                  <c:v>0.15</c:v>
                </c:pt>
                <c:pt idx="4" formatCode="General">
                  <c:v>0.12</c:v>
                </c:pt>
                <c:pt idx="5">
                  <c:v>0.1</c:v>
                </c:pt>
              </c:numCache>
            </c:numRef>
          </c:yVal>
          <c:smooth val="1"/>
          <c:extLst>
            <c:ext xmlns:c16="http://schemas.microsoft.com/office/drawing/2014/chart" uri="{C3380CC4-5D6E-409C-BE32-E72D297353CC}">
              <c16:uniqueId val="{00000001-0305-4C2D-A092-656AEB67FB2F}"/>
            </c:ext>
          </c:extLst>
        </c:ser>
        <c:ser>
          <c:idx val="2"/>
          <c:order val="2"/>
          <c:tx>
            <c:v>POŽAR</c:v>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PODATKI!$G$89:$G$94</c:f>
              <c:numCache>
                <c:formatCode>0.00</c:formatCode>
                <c:ptCount val="6"/>
                <c:pt idx="0" formatCode="General">
                  <c:v>0</c:v>
                </c:pt>
                <c:pt idx="1">
                  <c:v>0.26</c:v>
                </c:pt>
                <c:pt idx="2" formatCode="General">
                  <c:v>0.24</c:v>
                </c:pt>
                <c:pt idx="3" formatCode="General">
                  <c:v>0.2</c:v>
                </c:pt>
                <c:pt idx="4" formatCode="General">
                  <c:v>0.18</c:v>
                </c:pt>
                <c:pt idx="5">
                  <c:v>0.14000000000000001</c:v>
                </c:pt>
              </c:numCache>
            </c:numRef>
          </c:yVal>
          <c:smooth val="1"/>
          <c:extLst>
            <c:ext xmlns:c16="http://schemas.microsoft.com/office/drawing/2014/chart" uri="{C3380CC4-5D6E-409C-BE32-E72D297353CC}">
              <c16:uniqueId val="{00000002-0305-4C2D-A092-656AEB67FB2F}"/>
            </c:ext>
          </c:extLst>
        </c:ser>
        <c:dLbls>
          <c:showLegendKey val="0"/>
          <c:showVal val="0"/>
          <c:showCatName val="0"/>
          <c:showSerName val="0"/>
          <c:showPercent val="0"/>
          <c:showBubbleSize val="0"/>
        </c:dLbls>
        <c:axId val="1662929024"/>
        <c:axId val="1662905632"/>
      </c:scatterChart>
      <c:valAx>
        <c:axId val="166292902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05632"/>
        <c:crosses val="autoZero"/>
        <c:crossBetween val="midCat"/>
      </c:valAx>
      <c:valAx>
        <c:axId val="166290563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2902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ZUNANJA UREDITEV, NOTRANJA OPREMA</a:t>
            </a:r>
          </a:p>
          <a:p>
            <a:pPr>
              <a:defRPr/>
            </a:pPr>
            <a:r>
              <a:rPr lang="sl-SI"/>
              <a:t>50.000 - 500.000</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scatterChart>
        <c:scatterStyle val="smoothMarker"/>
        <c:varyColors val="0"/>
        <c:ser>
          <c:idx val="0"/>
          <c:order val="0"/>
          <c:tx>
            <c:v>UREDITEV POVRŠIN</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PODATKI!$H$89:$H$94</c:f>
              <c:numCache>
                <c:formatCode>0.00</c:formatCode>
                <c:ptCount val="6"/>
                <c:pt idx="0" formatCode="General">
                  <c:v>0</c:v>
                </c:pt>
                <c:pt idx="1">
                  <c:v>10</c:v>
                </c:pt>
                <c:pt idx="2" formatCode="General">
                  <c:v>8.8000000000000007</c:v>
                </c:pt>
                <c:pt idx="3" formatCode="General">
                  <c:v>7.2</c:v>
                </c:pt>
                <c:pt idx="4" formatCode="General">
                  <c:v>6.4</c:v>
                </c:pt>
                <c:pt idx="5">
                  <c:v>6</c:v>
                </c:pt>
              </c:numCache>
            </c:numRef>
          </c:yVal>
          <c:smooth val="1"/>
          <c:extLst>
            <c:ext xmlns:c16="http://schemas.microsoft.com/office/drawing/2014/chart" uri="{C3380CC4-5D6E-409C-BE32-E72D297353CC}">
              <c16:uniqueId val="{00000000-76EF-4CC0-9814-945B12979346}"/>
            </c:ext>
          </c:extLst>
        </c:ser>
        <c:ser>
          <c:idx val="1"/>
          <c:order val="1"/>
          <c:tx>
            <c:v>NOTRANJA OPREMA</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PODATKI!$A$89:$A$94</c:f>
              <c:numCache>
                <c:formatCode>#,##0</c:formatCode>
                <c:ptCount val="6"/>
                <c:pt idx="1">
                  <c:v>50000</c:v>
                </c:pt>
                <c:pt idx="2">
                  <c:v>100000</c:v>
                </c:pt>
                <c:pt idx="3">
                  <c:v>200000</c:v>
                </c:pt>
                <c:pt idx="4">
                  <c:v>300000</c:v>
                </c:pt>
                <c:pt idx="5">
                  <c:v>500000</c:v>
                </c:pt>
              </c:numCache>
            </c:numRef>
          </c:xVal>
          <c:yVal>
            <c:numRef>
              <c:f>PODATKI!$I$89:$I$94</c:f>
              <c:numCache>
                <c:formatCode>0.00</c:formatCode>
                <c:ptCount val="6"/>
                <c:pt idx="0" formatCode="General">
                  <c:v>0</c:v>
                </c:pt>
                <c:pt idx="1">
                  <c:v>14</c:v>
                </c:pt>
                <c:pt idx="2">
                  <c:v>12</c:v>
                </c:pt>
                <c:pt idx="3">
                  <c:v>10</c:v>
                </c:pt>
                <c:pt idx="4">
                  <c:v>9</c:v>
                </c:pt>
                <c:pt idx="5">
                  <c:v>8</c:v>
                </c:pt>
              </c:numCache>
            </c:numRef>
          </c:yVal>
          <c:smooth val="1"/>
          <c:extLst>
            <c:ext xmlns:c16="http://schemas.microsoft.com/office/drawing/2014/chart" uri="{C3380CC4-5D6E-409C-BE32-E72D297353CC}">
              <c16:uniqueId val="{00000001-76EF-4CC0-9814-945B12979346}"/>
            </c:ext>
          </c:extLst>
        </c:ser>
        <c:dLbls>
          <c:showLegendKey val="0"/>
          <c:showVal val="0"/>
          <c:showCatName val="0"/>
          <c:showSerName val="0"/>
          <c:showPercent val="0"/>
          <c:showBubbleSize val="0"/>
        </c:dLbls>
        <c:axId val="1662902368"/>
        <c:axId val="1662927392"/>
      </c:scatterChart>
      <c:valAx>
        <c:axId val="166290236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27392"/>
        <c:crosses val="autoZero"/>
        <c:crossBetween val="midCat"/>
      </c:valAx>
      <c:valAx>
        <c:axId val="16629273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02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INŠTALACIJE</a:t>
            </a:r>
          </a:p>
          <a:p>
            <a:pPr>
              <a:defRPr/>
            </a:pPr>
            <a:r>
              <a:rPr lang="sl-SI"/>
              <a:t>5.000 - 50.000</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manualLayout>
          <c:layoutTarget val="inner"/>
          <c:xMode val="edge"/>
          <c:yMode val="edge"/>
          <c:x val="0.16611301636075967"/>
          <c:y val="0.26122703412073467"/>
          <c:w val="0.7245257757414465"/>
          <c:h val="0.52959062408865554"/>
        </c:manualLayout>
      </c:layout>
      <c:scatterChart>
        <c:scatterStyle val="smoothMarker"/>
        <c:varyColors val="0"/>
        <c:ser>
          <c:idx val="0"/>
          <c:order val="0"/>
          <c:tx>
            <c:strRef>
              <c:f>PODATKI!$K$89</c:f>
              <c:strCache>
                <c:ptCount val="1"/>
                <c:pt idx="0">
                  <c:v>INŠTALACIJE</c:v>
                </c:pt>
              </c:strCache>
            </c:strRef>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PODATKI!$J$90:$J$93</c:f>
              <c:numCache>
                <c:formatCode>_-* #,##0\ _€_-;\-* #,##0\ _€_-;_-* "-"??\ _€_-;_-@_-</c:formatCode>
                <c:ptCount val="4"/>
                <c:pt idx="0">
                  <c:v>5000</c:v>
                </c:pt>
                <c:pt idx="1">
                  <c:v>10000</c:v>
                </c:pt>
                <c:pt idx="2">
                  <c:v>20000</c:v>
                </c:pt>
                <c:pt idx="3">
                  <c:v>30000</c:v>
                </c:pt>
              </c:numCache>
            </c:numRef>
          </c:xVal>
          <c:yVal>
            <c:numRef>
              <c:f>PODATKI!$K$90:$K$93</c:f>
              <c:numCache>
                <c:formatCode>0.00</c:formatCode>
                <c:ptCount val="4"/>
                <c:pt idx="0">
                  <c:v>24</c:v>
                </c:pt>
                <c:pt idx="1">
                  <c:v>17</c:v>
                </c:pt>
                <c:pt idx="2">
                  <c:v>14</c:v>
                </c:pt>
                <c:pt idx="3">
                  <c:v>12.8</c:v>
                </c:pt>
              </c:numCache>
            </c:numRef>
          </c:yVal>
          <c:smooth val="1"/>
          <c:extLst>
            <c:ext xmlns:c16="http://schemas.microsoft.com/office/drawing/2014/chart" uri="{C3380CC4-5D6E-409C-BE32-E72D297353CC}">
              <c16:uniqueId val="{00000000-ECFC-411D-B7A4-EB176B0243F4}"/>
            </c:ext>
          </c:extLst>
        </c:ser>
        <c:dLbls>
          <c:showLegendKey val="0"/>
          <c:showVal val="0"/>
          <c:showCatName val="0"/>
          <c:showSerName val="0"/>
          <c:showPercent val="0"/>
          <c:showBubbleSize val="0"/>
        </c:dLbls>
        <c:axId val="1662923040"/>
        <c:axId val="1662930112"/>
      </c:scatterChart>
      <c:valAx>
        <c:axId val="1662923040"/>
        <c:scaling>
          <c:orientation val="minMax"/>
        </c:scaling>
        <c:delete val="0"/>
        <c:axPos val="b"/>
        <c:majorGridlines>
          <c:spPr>
            <a:ln w="9525" cap="flat" cmpd="sng" algn="ctr">
              <a:solidFill>
                <a:schemeClr val="dk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30112"/>
        <c:crosses val="autoZero"/>
        <c:crossBetween val="midCat"/>
      </c:valAx>
      <c:valAx>
        <c:axId val="1662930112"/>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2304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CELOTA</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scatterChart>
        <c:scatterStyle val="smoothMarker"/>
        <c:varyColors val="0"/>
        <c:ser>
          <c:idx val="0"/>
          <c:order val="0"/>
          <c:tx>
            <c:strRef>
              <c:f>PODATKI!$B$89</c:f>
              <c:strCache>
                <c:ptCount val="1"/>
                <c:pt idx="0">
                  <c:v>DUP</c:v>
                </c:pt>
              </c:strCache>
            </c:strRef>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PODATKI!$B$89:$B$96</c:f>
              <c:numCache>
                <c:formatCode>0.00</c:formatCode>
                <c:ptCount val="8"/>
                <c:pt idx="0" formatCode="General">
                  <c:v>0</c:v>
                </c:pt>
                <c:pt idx="1">
                  <c:v>2</c:v>
                </c:pt>
                <c:pt idx="2">
                  <c:v>1.5</c:v>
                </c:pt>
                <c:pt idx="3">
                  <c:v>0.88</c:v>
                </c:pt>
                <c:pt idx="4">
                  <c:v>0.65</c:v>
                </c:pt>
                <c:pt idx="5">
                  <c:v>0.5</c:v>
                </c:pt>
                <c:pt idx="6">
                  <c:v>0.1</c:v>
                </c:pt>
                <c:pt idx="7">
                  <c:v>0.05</c:v>
                </c:pt>
              </c:numCache>
            </c:numRef>
          </c:yVal>
          <c:smooth val="1"/>
          <c:extLst>
            <c:ext xmlns:c16="http://schemas.microsoft.com/office/drawing/2014/chart" uri="{C3380CC4-5D6E-409C-BE32-E72D297353CC}">
              <c16:uniqueId val="{00000000-AE4F-450A-9A41-1C16848EBF20}"/>
            </c:ext>
          </c:extLst>
        </c:ser>
        <c:ser>
          <c:idx val="1"/>
          <c:order val="1"/>
          <c:tx>
            <c:strRef>
              <c:f>PODATKI!$C$89</c:f>
              <c:strCache>
                <c:ptCount val="1"/>
                <c:pt idx="0">
                  <c:v>ARHITEKTURA</c:v>
                </c:pt>
              </c:strCache>
            </c:strRef>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PODATKI!$C$89:$C$96</c:f>
              <c:numCache>
                <c:formatCode>0.00</c:formatCode>
                <c:ptCount val="8"/>
                <c:pt idx="0" formatCode="General">
                  <c:v>0</c:v>
                </c:pt>
                <c:pt idx="1">
                  <c:v>8</c:v>
                </c:pt>
                <c:pt idx="2">
                  <c:v>6.5</c:v>
                </c:pt>
                <c:pt idx="3">
                  <c:v>5</c:v>
                </c:pt>
                <c:pt idx="4">
                  <c:v>4.3499999999999996</c:v>
                </c:pt>
                <c:pt idx="5">
                  <c:v>4</c:v>
                </c:pt>
                <c:pt idx="6">
                  <c:v>3</c:v>
                </c:pt>
                <c:pt idx="7">
                  <c:v>2</c:v>
                </c:pt>
              </c:numCache>
            </c:numRef>
          </c:yVal>
          <c:smooth val="1"/>
          <c:extLst>
            <c:ext xmlns:c16="http://schemas.microsoft.com/office/drawing/2014/chart" uri="{C3380CC4-5D6E-409C-BE32-E72D297353CC}">
              <c16:uniqueId val="{00000001-AE4F-450A-9A41-1C16848EBF20}"/>
            </c:ext>
          </c:extLst>
        </c:ser>
        <c:ser>
          <c:idx val="2"/>
          <c:order val="2"/>
          <c:tx>
            <c:strRef>
              <c:f>PODATKI!$D$89</c:f>
              <c:strCache>
                <c:ptCount val="1"/>
                <c:pt idx="0">
                  <c:v>GRADBENE KONSTRUKCIJE</c:v>
                </c:pt>
              </c:strCache>
            </c:strRef>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PODATKI!$D$89:$D$96</c:f>
              <c:numCache>
                <c:formatCode>0.00</c:formatCode>
                <c:ptCount val="8"/>
                <c:pt idx="0" formatCode="General">
                  <c:v>0</c:v>
                </c:pt>
                <c:pt idx="1">
                  <c:v>6</c:v>
                </c:pt>
                <c:pt idx="2" formatCode="General">
                  <c:v>5.3</c:v>
                </c:pt>
                <c:pt idx="3" formatCode="General">
                  <c:v>4.0999999999999996</c:v>
                </c:pt>
                <c:pt idx="4" formatCode="General">
                  <c:v>3.45</c:v>
                </c:pt>
                <c:pt idx="5">
                  <c:v>3</c:v>
                </c:pt>
                <c:pt idx="6">
                  <c:v>1.5</c:v>
                </c:pt>
                <c:pt idx="7">
                  <c:v>1</c:v>
                </c:pt>
              </c:numCache>
            </c:numRef>
          </c:yVal>
          <c:smooth val="1"/>
          <c:extLst>
            <c:ext xmlns:c16="http://schemas.microsoft.com/office/drawing/2014/chart" uri="{C3380CC4-5D6E-409C-BE32-E72D297353CC}">
              <c16:uniqueId val="{00000002-AE4F-450A-9A41-1C16848EBF20}"/>
            </c:ext>
          </c:extLst>
        </c:ser>
        <c:ser>
          <c:idx val="3"/>
          <c:order val="3"/>
          <c:tx>
            <c:strRef>
              <c:f>PODATKI!$E$89</c:f>
              <c:strCache>
                <c:ptCount val="1"/>
                <c:pt idx="0">
                  <c:v>TOPLOTNA ZAŠČITA</c:v>
                </c:pt>
              </c:strCache>
            </c:strRef>
          </c:tx>
          <c:spPr>
            <a:ln w="28575">
              <a:solidFill>
                <a:schemeClr val="accent4">
                  <a:alpha val="20000"/>
                </a:schemeClr>
              </a:solidFill>
            </a:ln>
            <a:effectLst/>
          </c:spPr>
          <c:marker>
            <c:symbol val="circle"/>
            <c:size val="4"/>
            <c:spPr>
              <a:solidFill>
                <a:schemeClr val="accent4"/>
              </a:solidFill>
              <a:ln w="9525" cap="flat" cmpd="sng" algn="ctr">
                <a:solidFill>
                  <a:schemeClr val="accent4"/>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PODATKI!$E$89:$E$96</c:f>
              <c:numCache>
                <c:formatCode>0.00</c:formatCode>
                <c:ptCount val="8"/>
                <c:pt idx="0" formatCode="General">
                  <c:v>0</c:v>
                </c:pt>
                <c:pt idx="1">
                  <c:v>0.5</c:v>
                </c:pt>
                <c:pt idx="2" formatCode="General">
                  <c:v>0.4</c:v>
                </c:pt>
                <c:pt idx="3" formatCode="General">
                  <c:v>0.25</c:v>
                </c:pt>
                <c:pt idx="4" formatCode="General">
                  <c:v>0.15</c:v>
                </c:pt>
                <c:pt idx="5">
                  <c:v>7.0000000000000007E-2</c:v>
                </c:pt>
                <c:pt idx="6">
                  <c:v>0.01</c:v>
                </c:pt>
                <c:pt idx="7">
                  <c:v>0.01</c:v>
                </c:pt>
              </c:numCache>
            </c:numRef>
          </c:yVal>
          <c:smooth val="1"/>
          <c:extLst>
            <c:ext xmlns:c16="http://schemas.microsoft.com/office/drawing/2014/chart" uri="{C3380CC4-5D6E-409C-BE32-E72D297353CC}">
              <c16:uniqueId val="{00000003-AE4F-450A-9A41-1C16848EBF20}"/>
            </c:ext>
          </c:extLst>
        </c:ser>
        <c:ser>
          <c:idx val="4"/>
          <c:order val="4"/>
          <c:tx>
            <c:strRef>
              <c:f>PODATKI!$F$89</c:f>
              <c:strCache>
                <c:ptCount val="1"/>
                <c:pt idx="0">
                  <c:v>HRUP</c:v>
                </c:pt>
              </c:strCache>
            </c:strRef>
          </c:tx>
          <c:spPr>
            <a:ln w="28575">
              <a:solidFill>
                <a:schemeClr val="accent5">
                  <a:alpha val="20000"/>
                </a:schemeClr>
              </a:solidFill>
            </a:ln>
            <a:effectLst/>
          </c:spPr>
          <c:marker>
            <c:symbol val="circle"/>
            <c:size val="4"/>
            <c:spPr>
              <a:solidFill>
                <a:schemeClr val="accent5"/>
              </a:solidFill>
              <a:ln w="9525" cap="flat" cmpd="sng" algn="ctr">
                <a:solidFill>
                  <a:schemeClr val="accent5"/>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PODATKI!$F$89:$F$96</c:f>
              <c:numCache>
                <c:formatCode>0.00</c:formatCode>
                <c:ptCount val="8"/>
                <c:pt idx="0" formatCode="General">
                  <c:v>0</c:v>
                </c:pt>
                <c:pt idx="1">
                  <c:v>0.3</c:v>
                </c:pt>
                <c:pt idx="2" formatCode="General">
                  <c:v>0.22</c:v>
                </c:pt>
                <c:pt idx="3" formatCode="General">
                  <c:v>0.15</c:v>
                </c:pt>
                <c:pt idx="4" formatCode="General">
                  <c:v>0.12</c:v>
                </c:pt>
                <c:pt idx="5">
                  <c:v>0.1</c:v>
                </c:pt>
                <c:pt idx="6">
                  <c:v>0.01</c:v>
                </c:pt>
                <c:pt idx="7">
                  <c:v>0.01</c:v>
                </c:pt>
              </c:numCache>
            </c:numRef>
          </c:yVal>
          <c:smooth val="1"/>
          <c:extLst>
            <c:ext xmlns:c16="http://schemas.microsoft.com/office/drawing/2014/chart" uri="{C3380CC4-5D6E-409C-BE32-E72D297353CC}">
              <c16:uniqueId val="{00000004-AE4F-450A-9A41-1C16848EBF20}"/>
            </c:ext>
          </c:extLst>
        </c:ser>
        <c:ser>
          <c:idx val="5"/>
          <c:order val="5"/>
          <c:tx>
            <c:strRef>
              <c:f>PODATKI!$G$89</c:f>
              <c:strCache>
                <c:ptCount val="1"/>
                <c:pt idx="0">
                  <c:v>POŽAR</c:v>
                </c:pt>
              </c:strCache>
            </c:strRef>
          </c:tx>
          <c:spPr>
            <a:ln w="28575">
              <a:solidFill>
                <a:schemeClr val="accent6">
                  <a:alpha val="20000"/>
                </a:schemeClr>
              </a:solidFill>
            </a:ln>
            <a:effectLst/>
          </c:spPr>
          <c:marker>
            <c:symbol val="circle"/>
            <c:size val="4"/>
            <c:spPr>
              <a:solidFill>
                <a:schemeClr val="accent6"/>
              </a:solidFill>
              <a:ln w="9525" cap="flat" cmpd="sng" algn="ctr">
                <a:solidFill>
                  <a:schemeClr val="accent6"/>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PODATKI!$G$89:$G$96</c:f>
              <c:numCache>
                <c:formatCode>0.00</c:formatCode>
                <c:ptCount val="8"/>
                <c:pt idx="0" formatCode="General">
                  <c:v>0</c:v>
                </c:pt>
                <c:pt idx="1">
                  <c:v>0.26</c:v>
                </c:pt>
                <c:pt idx="2" formatCode="General">
                  <c:v>0.24</c:v>
                </c:pt>
                <c:pt idx="3" formatCode="General">
                  <c:v>0.2</c:v>
                </c:pt>
                <c:pt idx="4" formatCode="General">
                  <c:v>0.18</c:v>
                </c:pt>
                <c:pt idx="5">
                  <c:v>0.14000000000000001</c:v>
                </c:pt>
                <c:pt idx="6">
                  <c:v>0.05</c:v>
                </c:pt>
                <c:pt idx="7">
                  <c:v>2.5000000000000001E-2</c:v>
                </c:pt>
              </c:numCache>
            </c:numRef>
          </c:yVal>
          <c:smooth val="1"/>
          <c:extLst>
            <c:ext xmlns:c16="http://schemas.microsoft.com/office/drawing/2014/chart" uri="{C3380CC4-5D6E-409C-BE32-E72D297353CC}">
              <c16:uniqueId val="{00000005-AE4F-450A-9A41-1C16848EBF20}"/>
            </c:ext>
          </c:extLst>
        </c:ser>
        <c:ser>
          <c:idx val="6"/>
          <c:order val="6"/>
          <c:tx>
            <c:strRef>
              <c:f>PODATKI!$H$89</c:f>
              <c:strCache>
                <c:ptCount val="1"/>
                <c:pt idx="0">
                  <c:v>UREDITEV POVRŠIN</c:v>
                </c:pt>
              </c:strCache>
            </c:strRef>
          </c:tx>
          <c:spPr>
            <a:ln w="28575">
              <a:solidFill>
                <a:schemeClr val="accent1">
                  <a:lumMod val="60000"/>
                  <a:alpha val="20000"/>
                </a:schemeClr>
              </a:solidFill>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PODATKI!$H$89:$H$96</c:f>
              <c:numCache>
                <c:formatCode>0.00</c:formatCode>
                <c:ptCount val="8"/>
                <c:pt idx="0" formatCode="General">
                  <c:v>0</c:v>
                </c:pt>
                <c:pt idx="1">
                  <c:v>10</c:v>
                </c:pt>
                <c:pt idx="2" formatCode="General">
                  <c:v>8.8000000000000007</c:v>
                </c:pt>
                <c:pt idx="3" formatCode="General">
                  <c:v>7.2</c:v>
                </c:pt>
                <c:pt idx="4" formatCode="General">
                  <c:v>6.4</c:v>
                </c:pt>
                <c:pt idx="5">
                  <c:v>6</c:v>
                </c:pt>
                <c:pt idx="6">
                  <c:v>4</c:v>
                </c:pt>
                <c:pt idx="7">
                  <c:v>2</c:v>
                </c:pt>
              </c:numCache>
            </c:numRef>
          </c:yVal>
          <c:smooth val="1"/>
          <c:extLst>
            <c:ext xmlns:c16="http://schemas.microsoft.com/office/drawing/2014/chart" uri="{C3380CC4-5D6E-409C-BE32-E72D297353CC}">
              <c16:uniqueId val="{00000006-AE4F-450A-9A41-1C16848EBF20}"/>
            </c:ext>
          </c:extLst>
        </c:ser>
        <c:ser>
          <c:idx val="7"/>
          <c:order val="7"/>
          <c:tx>
            <c:strRef>
              <c:f>PODATKI!$I$89</c:f>
              <c:strCache>
                <c:ptCount val="1"/>
                <c:pt idx="0">
                  <c:v>NOTRANJA OPREMA</c:v>
                </c:pt>
              </c:strCache>
            </c:strRef>
          </c:tx>
          <c:spPr>
            <a:ln w="28575">
              <a:solidFill>
                <a:schemeClr val="accent2">
                  <a:lumMod val="60000"/>
                  <a:alpha val="20000"/>
                </a:schemeClr>
              </a:solidFill>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xVal>
            <c:numRef>
              <c:f>PODATKI!$A$89:$A$96</c:f>
              <c:numCache>
                <c:formatCode>#,##0</c:formatCode>
                <c:ptCount val="8"/>
                <c:pt idx="1">
                  <c:v>50000</c:v>
                </c:pt>
                <c:pt idx="2">
                  <c:v>100000</c:v>
                </c:pt>
                <c:pt idx="3">
                  <c:v>200000</c:v>
                </c:pt>
                <c:pt idx="4">
                  <c:v>300000</c:v>
                </c:pt>
                <c:pt idx="5">
                  <c:v>500000</c:v>
                </c:pt>
                <c:pt idx="6">
                  <c:v>5000000</c:v>
                </c:pt>
                <c:pt idx="7">
                  <c:v>50000000</c:v>
                </c:pt>
              </c:numCache>
            </c:numRef>
          </c:xVal>
          <c:yVal>
            <c:numRef>
              <c:f>PODATKI!$I$89:$I$96</c:f>
              <c:numCache>
                <c:formatCode>0.00</c:formatCode>
                <c:ptCount val="8"/>
                <c:pt idx="0" formatCode="General">
                  <c:v>0</c:v>
                </c:pt>
                <c:pt idx="1">
                  <c:v>14</c:v>
                </c:pt>
                <c:pt idx="2">
                  <c:v>12</c:v>
                </c:pt>
                <c:pt idx="3">
                  <c:v>10</c:v>
                </c:pt>
                <c:pt idx="4">
                  <c:v>9</c:v>
                </c:pt>
                <c:pt idx="5">
                  <c:v>8</c:v>
                </c:pt>
                <c:pt idx="6">
                  <c:v>6</c:v>
                </c:pt>
                <c:pt idx="7">
                  <c:v>4</c:v>
                </c:pt>
              </c:numCache>
            </c:numRef>
          </c:yVal>
          <c:smooth val="1"/>
          <c:extLst>
            <c:ext xmlns:c16="http://schemas.microsoft.com/office/drawing/2014/chart" uri="{C3380CC4-5D6E-409C-BE32-E72D297353CC}">
              <c16:uniqueId val="{00000007-AE4F-450A-9A41-1C16848EBF20}"/>
            </c:ext>
          </c:extLst>
        </c:ser>
        <c:dLbls>
          <c:showLegendKey val="0"/>
          <c:showVal val="0"/>
          <c:showCatName val="0"/>
          <c:showSerName val="0"/>
          <c:showPercent val="0"/>
          <c:showBubbleSize val="0"/>
        </c:dLbls>
        <c:axId val="1662923584"/>
        <c:axId val="1662916512"/>
      </c:scatterChart>
      <c:valAx>
        <c:axId val="166292358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16512"/>
        <c:crosses val="autoZero"/>
        <c:crossBetween val="midCat"/>
      </c:valAx>
      <c:valAx>
        <c:axId val="166291651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2358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sl-SI"/>
              <a:t>CELOTA</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sl-SI"/>
        </a:p>
      </c:txPr>
    </c:title>
    <c:autoTitleDeleted val="0"/>
    <c:plotArea>
      <c:layout/>
      <c:scatterChart>
        <c:scatterStyle val="smoothMarker"/>
        <c:varyColors val="0"/>
        <c:ser>
          <c:idx val="6"/>
          <c:order val="0"/>
          <c:tx>
            <c:strRef>
              <c:f>PODATKI!$K$89</c:f>
              <c:strCache>
                <c:ptCount val="1"/>
                <c:pt idx="0">
                  <c:v>INŠTALACIJE</c:v>
                </c:pt>
              </c:strCache>
            </c:strRef>
          </c:tx>
          <c:spPr>
            <a:ln w="28575">
              <a:solidFill>
                <a:schemeClr val="accent1">
                  <a:lumMod val="60000"/>
                  <a:alpha val="20000"/>
                </a:schemeClr>
              </a:solidFill>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xVal>
            <c:numRef>
              <c:f>PODATKI!$J$89:$J$96</c:f>
              <c:numCache>
                <c:formatCode>_-* #,##0\ _€_-;\-* #,##0\ _€_-;_-* "-"??\ _€_-;_-@_-</c:formatCode>
                <c:ptCount val="8"/>
                <c:pt idx="1">
                  <c:v>5000</c:v>
                </c:pt>
                <c:pt idx="2">
                  <c:v>10000</c:v>
                </c:pt>
                <c:pt idx="3">
                  <c:v>20000</c:v>
                </c:pt>
                <c:pt idx="4">
                  <c:v>30000</c:v>
                </c:pt>
                <c:pt idx="5">
                  <c:v>50000</c:v>
                </c:pt>
                <c:pt idx="6">
                  <c:v>500000</c:v>
                </c:pt>
                <c:pt idx="7">
                  <c:v>5000000</c:v>
                </c:pt>
              </c:numCache>
            </c:numRef>
          </c:xVal>
          <c:yVal>
            <c:numRef>
              <c:f>PODATKI!$K$89:$K$96</c:f>
              <c:numCache>
                <c:formatCode>0.00</c:formatCode>
                <c:ptCount val="8"/>
                <c:pt idx="0" formatCode="General">
                  <c:v>0</c:v>
                </c:pt>
                <c:pt idx="1">
                  <c:v>24</c:v>
                </c:pt>
                <c:pt idx="2">
                  <c:v>17</c:v>
                </c:pt>
                <c:pt idx="3">
                  <c:v>14</c:v>
                </c:pt>
                <c:pt idx="4">
                  <c:v>12.8</c:v>
                </c:pt>
                <c:pt idx="5">
                  <c:v>12</c:v>
                </c:pt>
                <c:pt idx="6">
                  <c:v>7</c:v>
                </c:pt>
                <c:pt idx="7">
                  <c:v>4</c:v>
                </c:pt>
              </c:numCache>
            </c:numRef>
          </c:yVal>
          <c:smooth val="1"/>
          <c:extLst>
            <c:ext xmlns:c16="http://schemas.microsoft.com/office/drawing/2014/chart" uri="{C3380CC4-5D6E-409C-BE32-E72D297353CC}">
              <c16:uniqueId val="{00000000-3291-4E51-9397-C17F07A28EE4}"/>
            </c:ext>
          </c:extLst>
        </c:ser>
        <c:dLbls>
          <c:showLegendKey val="0"/>
          <c:showVal val="0"/>
          <c:showCatName val="0"/>
          <c:showSerName val="0"/>
          <c:showPercent val="0"/>
          <c:showBubbleSize val="0"/>
        </c:dLbls>
        <c:axId val="1662904544"/>
        <c:axId val="1662911072"/>
      </c:scatterChart>
      <c:valAx>
        <c:axId val="166290454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11072"/>
        <c:crosses val="autoZero"/>
        <c:crossBetween val="midCat"/>
      </c:valAx>
      <c:valAx>
        <c:axId val="166291107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crossAx val="166290454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Arial Narrow" panose="020B0606020202030204" pitchFamily="34" charset="0"/>
                <a:ea typeface="+mn-ea"/>
                <a:cs typeface="+mn-cs"/>
              </a:defRPr>
            </a:pPr>
            <a:r>
              <a:rPr lang="sl-SI">
                <a:latin typeface="Arial Narrow" panose="020B0606020202030204" pitchFamily="34" charset="0"/>
              </a:rPr>
              <a:t>Izračun NU za notranjo opremo</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Arial Narrow" panose="020B0606020202030204" pitchFamily="34" charset="0"/>
              <a:ea typeface="+mn-ea"/>
              <a:cs typeface="+mn-cs"/>
            </a:defRPr>
          </a:pPr>
          <a:endParaRPr lang="sl-SI"/>
        </a:p>
      </c:txPr>
    </c:title>
    <c:autoTitleDeleted val="0"/>
    <c:plotArea>
      <c:layout/>
      <c:scatterChart>
        <c:scatterStyle val="smoothMarker"/>
        <c:varyColors val="0"/>
        <c:ser>
          <c:idx val="0"/>
          <c:order val="0"/>
          <c:tx>
            <c:v>I RAZRED</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PODATKI!$A$156:$A$203</c:f>
              <c:numCache>
                <c:formatCode>#,##0</c:formatCode>
                <c:ptCount val="48"/>
                <c:pt idx="0">
                  <c:v>10000</c:v>
                </c:pt>
                <c:pt idx="1">
                  <c:v>15000</c:v>
                </c:pt>
                <c:pt idx="2">
                  <c:v>20000</c:v>
                </c:pt>
                <c:pt idx="3">
                  <c:v>30000</c:v>
                </c:pt>
                <c:pt idx="4">
                  <c:v>40000</c:v>
                </c:pt>
                <c:pt idx="5">
                  <c:v>45000</c:v>
                </c:pt>
                <c:pt idx="6">
                  <c:v>50000</c:v>
                </c:pt>
                <c:pt idx="7">
                  <c:v>60000</c:v>
                </c:pt>
                <c:pt idx="8">
                  <c:v>70000</c:v>
                </c:pt>
                <c:pt idx="9">
                  <c:v>80000</c:v>
                </c:pt>
                <c:pt idx="10">
                  <c:v>90000</c:v>
                </c:pt>
                <c:pt idx="11">
                  <c:v>100000</c:v>
                </c:pt>
                <c:pt idx="12">
                  <c:v>120000</c:v>
                </c:pt>
                <c:pt idx="13">
                  <c:v>150000</c:v>
                </c:pt>
                <c:pt idx="14">
                  <c:v>180000</c:v>
                </c:pt>
                <c:pt idx="15">
                  <c:v>200000</c:v>
                </c:pt>
                <c:pt idx="16">
                  <c:v>210000</c:v>
                </c:pt>
                <c:pt idx="17">
                  <c:v>240000</c:v>
                </c:pt>
                <c:pt idx="18">
                  <c:v>270000</c:v>
                </c:pt>
                <c:pt idx="19">
                  <c:v>300000</c:v>
                </c:pt>
                <c:pt idx="20">
                  <c:v>375000</c:v>
                </c:pt>
                <c:pt idx="21">
                  <c:v>400000</c:v>
                </c:pt>
                <c:pt idx="22">
                  <c:v>450000</c:v>
                </c:pt>
                <c:pt idx="23">
                  <c:v>500000</c:v>
                </c:pt>
                <c:pt idx="24">
                  <c:v>525000</c:v>
                </c:pt>
                <c:pt idx="25">
                  <c:v>600000</c:v>
                </c:pt>
                <c:pt idx="26">
                  <c:v>700000</c:v>
                </c:pt>
                <c:pt idx="27">
                  <c:v>750000</c:v>
                </c:pt>
                <c:pt idx="28">
                  <c:v>800000</c:v>
                </c:pt>
                <c:pt idx="29">
                  <c:v>900000</c:v>
                </c:pt>
                <c:pt idx="30">
                  <c:v>1000000</c:v>
                </c:pt>
                <c:pt idx="31">
                  <c:v>1050000</c:v>
                </c:pt>
                <c:pt idx="32">
                  <c:v>1200000</c:v>
                </c:pt>
                <c:pt idx="33">
                  <c:v>1350000</c:v>
                </c:pt>
                <c:pt idx="34">
                  <c:v>1400000</c:v>
                </c:pt>
                <c:pt idx="35">
                  <c:v>1500000</c:v>
                </c:pt>
                <c:pt idx="36">
                  <c:v>1600000</c:v>
                </c:pt>
                <c:pt idx="37">
                  <c:v>1800000</c:v>
                </c:pt>
                <c:pt idx="38">
                  <c:v>2000000</c:v>
                </c:pt>
                <c:pt idx="39">
                  <c:v>2100000</c:v>
                </c:pt>
                <c:pt idx="40">
                  <c:v>2400000</c:v>
                </c:pt>
                <c:pt idx="41">
                  <c:v>2500000</c:v>
                </c:pt>
                <c:pt idx="42">
                  <c:v>2700000</c:v>
                </c:pt>
                <c:pt idx="43">
                  <c:v>3000000</c:v>
                </c:pt>
                <c:pt idx="44">
                  <c:v>3300000</c:v>
                </c:pt>
                <c:pt idx="45">
                  <c:v>3600000</c:v>
                </c:pt>
                <c:pt idx="46">
                  <c:v>3900000</c:v>
                </c:pt>
                <c:pt idx="47">
                  <c:v>4000000</c:v>
                </c:pt>
              </c:numCache>
            </c:numRef>
          </c:xVal>
          <c:yVal>
            <c:numRef>
              <c:f>PODATKI!$B$156:$B$203</c:f>
              <c:numCache>
                <c:formatCode>_-* #,##0.0\ _€_-;\-* #,##0.0\ _€_-;_-* "-"??\ _€_-;_-@_-</c:formatCode>
                <c:ptCount val="48"/>
                <c:pt idx="0">
                  <c:v>18</c:v>
                </c:pt>
                <c:pt idx="1">
                  <c:v>25</c:v>
                </c:pt>
                <c:pt idx="2">
                  <c:v>32</c:v>
                </c:pt>
                <c:pt idx="3">
                  <c:v>44</c:v>
                </c:pt>
                <c:pt idx="4">
                  <c:v>54</c:v>
                </c:pt>
                <c:pt idx="5">
                  <c:v>59</c:v>
                </c:pt>
                <c:pt idx="6">
                  <c:v>64</c:v>
                </c:pt>
                <c:pt idx="7">
                  <c:v>74</c:v>
                </c:pt>
                <c:pt idx="8">
                  <c:v>83</c:v>
                </c:pt>
                <c:pt idx="9">
                  <c:v>93</c:v>
                </c:pt>
                <c:pt idx="10">
                  <c:v>101</c:v>
                </c:pt>
                <c:pt idx="11">
                  <c:v>110</c:v>
                </c:pt>
                <c:pt idx="12">
                  <c:v>126</c:v>
                </c:pt>
                <c:pt idx="13">
                  <c:v>148</c:v>
                </c:pt>
                <c:pt idx="14">
                  <c:v>170</c:v>
                </c:pt>
                <c:pt idx="15">
                  <c:v>184</c:v>
                </c:pt>
                <c:pt idx="16">
                  <c:v>191</c:v>
                </c:pt>
                <c:pt idx="17">
                  <c:v>211</c:v>
                </c:pt>
                <c:pt idx="18">
                  <c:v>229</c:v>
                </c:pt>
                <c:pt idx="19">
                  <c:v>248</c:v>
                </c:pt>
                <c:pt idx="20">
                  <c:v>290</c:v>
                </c:pt>
                <c:pt idx="21">
                  <c:v>306</c:v>
                </c:pt>
                <c:pt idx="22">
                  <c:v>333</c:v>
                </c:pt>
                <c:pt idx="23">
                  <c:v>360</c:v>
                </c:pt>
                <c:pt idx="24">
                  <c:v>373</c:v>
                </c:pt>
                <c:pt idx="25">
                  <c:v>412</c:v>
                </c:pt>
                <c:pt idx="26">
                  <c:v>459</c:v>
                </c:pt>
                <c:pt idx="27">
                  <c:v>485</c:v>
                </c:pt>
                <c:pt idx="28">
                  <c:v>507</c:v>
                </c:pt>
                <c:pt idx="29">
                  <c:v>550</c:v>
                </c:pt>
                <c:pt idx="30">
                  <c:v>597</c:v>
                </c:pt>
                <c:pt idx="31">
                  <c:v>617</c:v>
                </c:pt>
                <c:pt idx="32">
                  <c:v>678</c:v>
                </c:pt>
                <c:pt idx="33">
                  <c:v>738</c:v>
                </c:pt>
                <c:pt idx="34">
                  <c:v>758</c:v>
                </c:pt>
                <c:pt idx="35">
                  <c:v>796</c:v>
                </c:pt>
                <c:pt idx="36">
                  <c:v>834</c:v>
                </c:pt>
                <c:pt idx="37">
                  <c:v>908</c:v>
                </c:pt>
                <c:pt idx="38">
                  <c:v>983</c:v>
                </c:pt>
                <c:pt idx="39">
                  <c:v>1017</c:v>
                </c:pt>
                <c:pt idx="40">
                  <c:v>1118</c:v>
                </c:pt>
                <c:pt idx="41">
                  <c:v>1137</c:v>
                </c:pt>
                <c:pt idx="42">
                  <c:v>1208</c:v>
                </c:pt>
                <c:pt idx="43">
                  <c:v>1309</c:v>
                </c:pt>
                <c:pt idx="44">
                  <c:v>1410</c:v>
                </c:pt>
                <c:pt idx="45">
                  <c:v>1498</c:v>
                </c:pt>
                <c:pt idx="46">
                  <c:v>1587</c:v>
                </c:pt>
                <c:pt idx="47">
                  <c:v>1621</c:v>
                </c:pt>
              </c:numCache>
            </c:numRef>
          </c:yVal>
          <c:smooth val="1"/>
          <c:extLst>
            <c:ext xmlns:c16="http://schemas.microsoft.com/office/drawing/2014/chart" uri="{C3380CC4-5D6E-409C-BE32-E72D297353CC}">
              <c16:uniqueId val="{00000000-944E-AC42-AD26-3BBD3D55B014}"/>
            </c:ext>
          </c:extLst>
        </c:ser>
        <c:ser>
          <c:idx val="1"/>
          <c:order val="1"/>
          <c:tx>
            <c:v>I-II RAZRED</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PODATKI!$A$156:$A$203</c:f>
              <c:numCache>
                <c:formatCode>#,##0</c:formatCode>
                <c:ptCount val="48"/>
                <c:pt idx="0">
                  <c:v>10000</c:v>
                </c:pt>
                <c:pt idx="1">
                  <c:v>15000</c:v>
                </c:pt>
                <c:pt idx="2">
                  <c:v>20000</c:v>
                </c:pt>
                <c:pt idx="3">
                  <c:v>30000</c:v>
                </c:pt>
                <c:pt idx="4">
                  <c:v>40000</c:v>
                </c:pt>
                <c:pt idx="5">
                  <c:v>45000</c:v>
                </c:pt>
                <c:pt idx="6">
                  <c:v>50000</c:v>
                </c:pt>
                <c:pt idx="7">
                  <c:v>60000</c:v>
                </c:pt>
                <c:pt idx="8">
                  <c:v>70000</c:v>
                </c:pt>
                <c:pt idx="9">
                  <c:v>80000</c:v>
                </c:pt>
                <c:pt idx="10">
                  <c:v>90000</c:v>
                </c:pt>
                <c:pt idx="11">
                  <c:v>100000</c:v>
                </c:pt>
                <c:pt idx="12">
                  <c:v>120000</c:v>
                </c:pt>
                <c:pt idx="13">
                  <c:v>150000</c:v>
                </c:pt>
                <c:pt idx="14">
                  <c:v>180000</c:v>
                </c:pt>
                <c:pt idx="15">
                  <c:v>200000</c:v>
                </c:pt>
                <c:pt idx="16">
                  <c:v>210000</c:v>
                </c:pt>
                <c:pt idx="17">
                  <c:v>240000</c:v>
                </c:pt>
                <c:pt idx="18">
                  <c:v>270000</c:v>
                </c:pt>
                <c:pt idx="19">
                  <c:v>300000</c:v>
                </c:pt>
                <c:pt idx="20">
                  <c:v>375000</c:v>
                </c:pt>
                <c:pt idx="21">
                  <c:v>400000</c:v>
                </c:pt>
                <c:pt idx="22">
                  <c:v>450000</c:v>
                </c:pt>
                <c:pt idx="23">
                  <c:v>500000</c:v>
                </c:pt>
                <c:pt idx="24">
                  <c:v>525000</c:v>
                </c:pt>
                <c:pt idx="25">
                  <c:v>600000</c:v>
                </c:pt>
                <c:pt idx="26">
                  <c:v>700000</c:v>
                </c:pt>
                <c:pt idx="27">
                  <c:v>750000</c:v>
                </c:pt>
                <c:pt idx="28">
                  <c:v>800000</c:v>
                </c:pt>
                <c:pt idx="29">
                  <c:v>900000</c:v>
                </c:pt>
                <c:pt idx="30">
                  <c:v>1000000</c:v>
                </c:pt>
                <c:pt idx="31">
                  <c:v>1050000</c:v>
                </c:pt>
                <c:pt idx="32">
                  <c:v>1200000</c:v>
                </c:pt>
                <c:pt idx="33">
                  <c:v>1350000</c:v>
                </c:pt>
                <c:pt idx="34">
                  <c:v>1400000</c:v>
                </c:pt>
                <c:pt idx="35">
                  <c:v>1500000</c:v>
                </c:pt>
                <c:pt idx="36">
                  <c:v>1600000</c:v>
                </c:pt>
                <c:pt idx="37">
                  <c:v>1800000</c:v>
                </c:pt>
                <c:pt idx="38">
                  <c:v>2000000</c:v>
                </c:pt>
                <c:pt idx="39">
                  <c:v>2100000</c:v>
                </c:pt>
                <c:pt idx="40">
                  <c:v>2400000</c:v>
                </c:pt>
                <c:pt idx="41">
                  <c:v>2500000</c:v>
                </c:pt>
                <c:pt idx="42">
                  <c:v>2700000</c:v>
                </c:pt>
                <c:pt idx="43">
                  <c:v>3000000</c:v>
                </c:pt>
                <c:pt idx="44">
                  <c:v>3300000</c:v>
                </c:pt>
                <c:pt idx="45">
                  <c:v>3600000</c:v>
                </c:pt>
                <c:pt idx="46">
                  <c:v>3900000</c:v>
                </c:pt>
                <c:pt idx="47">
                  <c:v>4000000</c:v>
                </c:pt>
              </c:numCache>
            </c:numRef>
          </c:xVal>
          <c:yVal>
            <c:numRef>
              <c:f>PODATKI!$C$156:$C$203</c:f>
              <c:numCache>
                <c:formatCode>_-* #,##0.0\ _€_-;\-* #,##0.0\ _€_-;_-* "-"??\ _€_-;_-@_-</c:formatCode>
                <c:ptCount val="48"/>
                <c:pt idx="0">
                  <c:v>24.55</c:v>
                </c:pt>
                <c:pt idx="1">
                  <c:v>33.700000000000003</c:v>
                </c:pt>
                <c:pt idx="2">
                  <c:v>42.3</c:v>
                </c:pt>
                <c:pt idx="3">
                  <c:v>57.99</c:v>
                </c:pt>
                <c:pt idx="4">
                  <c:v>72.44</c:v>
                </c:pt>
                <c:pt idx="5">
                  <c:v>79.09</c:v>
                </c:pt>
                <c:pt idx="6">
                  <c:v>85.7</c:v>
                </c:pt>
                <c:pt idx="7">
                  <c:v>98.86</c:v>
                </c:pt>
                <c:pt idx="8">
                  <c:v>110.87</c:v>
                </c:pt>
                <c:pt idx="9">
                  <c:v>123.46</c:v>
                </c:pt>
                <c:pt idx="10">
                  <c:v>133.69999999999999</c:v>
                </c:pt>
                <c:pt idx="11">
                  <c:v>145.91999999999999</c:v>
                </c:pt>
                <c:pt idx="12">
                  <c:v>167.29</c:v>
                </c:pt>
                <c:pt idx="13">
                  <c:v>197.42</c:v>
                </c:pt>
                <c:pt idx="14">
                  <c:v>226.85</c:v>
                </c:pt>
                <c:pt idx="15">
                  <c:v>245.55</c:v>
                </c:pt>
                <c:pt idx="16">
                  <c:v>254.73</c:v>
                </c:pt>
                <c:pt idx="17">
                  <c:v>281.10000000000002</c:v>
                </c:pt>
                <c:pt idx="18">
                  <c:v>305.8</c:v>
                </c:pt>
                <c:pt idx="19">
                  <c:v>330.39</c:v>
                </c:pt>
                <c:pt idx="20">
                  <c:v>387.2</c:v>
                </c:pt>
                <c:pt idx="21">
                  <c:v>409.09</c:v>
                </c:pt>
                <c:pt idx="22">
                  <c:v>444.75</c:v>
                </c:pt>
                <c:pt idx="23">
                  <c:v>480.36</c:v>
                </c:pt>
                <c:pt idx="24">
                  <c:v>498.25</c:v>
                </c:pt>
                <c:pt idx="25">
                  <c:v>549.91</c:v>
                </c:pt>
                <c:pt idx="26">
                  <c:v>612.34</c:v>
                </c:pt>
                <c:pt idx="27">
                  <c:v>646.41</c:v>
                </c:pt>
                <c:pt idx="28">
                  <c:v>676.24</c:v>
                </c:pt>
                <c:pt idx="29">
                  <c:v>733.7</c:v>
                </c:pt>
                <c:pt idx="30">
                  <c:v>794.35</c:v>
                </c:pt>
                <c:pt idx="31">
                  <c:v>821.82</c:v>
                </c:pt>
                <c:pt idx="32">
                  <c:v>903.13</c:v>
                </c:pt>
                <c:pt idx="33">
                  <c:v>982.04</c:v>
                </c:pt>
                <c:pt idx="34">
                  <c:v>1008.1</c:v>
                </c:pt>
                <c:pt idx="35">
                  <c:v>1056.17</c:v>
                </c:pt>
                <c:pt idx="36">
                  <c:v>1107.92</c:v>
                </c:pt>
                <c:pt idx="37">
                  <c:v>1204.42</c:v>
                </c:pt>
                <c:pt idx="38">
                  <c:v>1298.96</c:v>
                </c:pt>
                <c:pt idx="39">
                  <c:v>1344.57</c:v>
                </c:pt>
                <c:pt idx="40">
                  <c:v>1474.77</c:v>
                </c:pt>
                <c:pt idx="41">
                  <c:v>1496.32</c:v>
                </c:pt>
                <c:pt idx="42">
                  <c:v>1589.5</c:v>
                </c:pt>
                <c:pt idx="43">
                  <c:v>1720.07</c:v>
                </c:pt>
                <c:pt idx="44">
                  <c:v>1845.49</c:v>
                </c:pt>
                <c:pt idx="45">
                  <c:v>1958.01</c:v>
                </c:pt>
                <c:pt idx="46">
                  <c:v>2070.9</c:v>
                </c:pt>
                <c:pt idx="47">
                  <c:v>2111.7199999999998</c:v>
                </c:pt>
              </c:numCache>
            </c:numRef>
          </c:yVal>
          <c:smooth val="1"/>
          <c:extLst>
            <c:ext xmlns:c16="http://schemas.microsoft.com/office/drawing/2014/chart" uri="{C3380CC4-5D6E-409C-BE32-E72D297353CC}">
              <c16:uniqueId val="{00000001-944E-AC42-AD26-3BBD3D55B014}"/>
            </c:ext>
          </c:extLst>
        </c:ser>
        <c:ser>
          <c:idx val="2"/>
          <c:order val="2"/>
          <c:tx>
            <c:v>II-III RAZRED</c:v>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PODATKI!$A$156:$A$203</c:f>
              <c:numCache>
                <c:formatCode>#,##0</c:formatCode>
                <c:ptCount val="48"/>
                <c:pt idx="0">
                  <c:v>10000</c:v>
                </c:pt>
                <c:pt idx="1">
                  <c:v>15000</c:v>
                </c:pt>
                <c:pt idx="2">
                  <c:v>20000</c:v>
                </c:pt>
                <c:pt idx="3">
                  <c:v>30000</c:v>
                </c:pt>
                <c:pt idx="4">
                  <c:v>40000</c:v>
                </c:pt>
                <c:pt idx="5">
                  <c:v>45000</c:v>
                </c:pt>
                <c:pt idx="6">
                  <c:v>50000</c:v>
                </c:pt>
                <c:pt idx="7">
                  <c:v>60000</c:v>
                </c:pt>
                <c:pt idx="8">
                  <c:v>70000</c:v>
                </c:pt>
                <c:pt idx="9">
                  <c:v>80000</c:v>
                </c:pt>
                <c:pt idx="10">
                  <c:v>90000</c:v>
                </c:pt>
                <c:pt idx="11">
                  <c:v>100000</c:v>
                </c:pt>
                <c:pt idx="12">
                  <c:v>120000</c:v>
                </c:pt>
                <c:pt idx="13">
                  <c:v>150000</c:v>
                </c:pt>
                <c:pt idx="14">
                  <c:v>180000</c:v>
                </c:pt>
                <c:pt idx="15">
                  <c:v>200000</c:v>
                </c:pt>
                <c:pt idx="16">
                  <c:v>210000</c:v>
                </c:pt>
                <c:pt idx="17">
                  <c:v>240000</c:v>
                </c:pt>
                <c:pt idx="18">
                  <c:v>270000</c:v>
                </c:pt>
                <c:pt idx="19">
                  <c:v>300000</c:v>
                </c:pt>
                <c:pt idx="20">
                  <c:v>375000</c:v>
                </c:pt>
                <c:pt idx="21">
                  <c:v>400000</c:v>
                </c:pt>
                <c:pt idx="22">
                  <c:v>450000</c:v>
                </c:pt>
                <c:pt idx="23">
                  <c:v>500000</c:v>
                </c:pt>
                <c:pt idx="24">
                  <c:v>525000</c:v>
                </c:pt>
                <c:pt idx="25">
                  <c:v>600000</c:v>
                </c:pt>
                <c:pt idx="26">
                  <c:v>700000</c:v>
                </c:pt>
                <c:pt idx="27">
                  <c:v>750000</c:v>
                </c:pt>
                <c:pt idx="28">
                  <c:v>800000</c:v>
                </c:pt>
                <c:pt idx="29">
                  <c:v>900000</c:v>
                </c:pt>
                <c:pt idx="30">
                  <c:v>1000000</c:v>
                </c:pt>
                <c:pt idx="31">
                  <c:v>1050000</c:v>
                </c:pt>
                <c:pt idx="32">
                  <c:v>1200000</c:v>
                </c:pt>
                <c:pt idx="33">
                  <c:v>1350000</c:v>
                </c:pt>
                <c:pt idx="34">
                  <c:v>1400000</c:v>
                </c:pt>
                <c:pt idx="35">
                  <c:v>1500000</c:v>
                </c:pt>
                <c:pt idx="36">
                  <c:v>1600000</c:v>
                </c:pt>
                <c:pt idx="37">
                  <c:v>1800000</c:v>
                </c:pt>
                <c:pt idx="38">
                  <c:v>2000000</c:v>
                </c:pt>
                <c:pt idx="39">
                  <c:v>2100000</c:v>
                </c:pt>
                <c:pt idx="40">
                  <c:v>2400000</c:v>
                </c:pt>
                <c:pt idx="41">
                  <c:v>2500000</c:v>
                </c:pt>
                <c:pt idx="42">
                  <c:v>2700000</c:v>
                </c:pt>
                <c:pt idx="43">
                  <c:v>3000000</c:v>
                </c:pt>
                <c:pt idx="44">
                  <c:v>3300000</c:v>
                </c:pt>
                <c:pt idx="45">
                  <c:v>3600000</c:v>
                </c:pt>
                <c:pt idx="46">
                  <c:v>3900000</c:v>
                </c:pt>
                <c:pt idx="47">
                  <c:v>4000000</c:v>
                </c:pt>
              </c:numCache>
            </c:numRef>
          </c:xVal>
          <c:yVal>
            <c:numRef>
              <c:f>PODATKI!$D$156:$D$203</c:f>
              <c:numCache>
                <c:formatCode>_-* #,##0.0\ _€_-;\-* #,##0.0\ _€_-;_-* "-"??\ _€_-;_-@_-</c:formatCode>
                <c:ptCount val="48"/>
                <c:pt idx="0">
                  <c:v>30.69</c:v>
                </c:pt>
                <c:pt idx="1">
                  <c:v>42.1</c:v>
                </c:pt>
                <c:pt idx="2">
                  <c:v>52.81</c:v>
                </c:pt>
                <c:pt idx="3">
                  <c:v>72.39</c:v>
                </c:pt>
                <c:pt idx="4">
                  <c:v>90.44</c:v>
                </c:pt>
                <c:pt idx="5">
                  <c:v>98.76</c:v>
                </c:pt>
                <c:pt idx="6">
                  <c:v>107.03</c:v>
                </c:pt>
                <c:pt idx="7">
                  <c:v>123.46</c:v>
                </c:pt>
                <c:pt idx="8">
                  <c:v>138.44999999999999</c:v>
                </c:pt>
                <c:pt idx="9">
                  <c:v>154.4</c:v>
                </c:pt>
                <c:pt idx="10">
                  <c:v>166.63</c:v>
                </c:pt>
                <c:pt idx="11">
                  <c:v>182.26</c:v>
                </c:pt>
                <c:pt idx="12">
                  <c:v>209.06</c:v>
                </c:pt>
                <c:pt idx="13">
                  <c:v>246.78</c:v>
                </c:pt>
                <c:pt idx="14">
                  <c:v>283.64999999999998</c:v>
                </c:pt>
                <c:pt idx="15">
                  <c:v>306.94</c:v>
                </c:pt>
                <c:pt idx="16">
                  <c:v>318.42</c:v>
                </c:pt>
                <c:pt idx="17">
                  <c:v>351.38</c:v>
                </c:pt>
                <c:pt idx="18">
                  <c:v>382.38</c:v>
                </c:pt>
                <c:pt idx="19">
                  <c:v>413.26</c:v>
                </c:pt>
                <c:pt idx="20">
                  <c:v>484.35</c:v>
                </c:pt>
                <c:pt idx="21">
                  <c:v>511.72</c:v>
                </c:pt>
                <c:pt idx="22">
                  <c:v>556.35</c:v>
                </c:pt>
                <c:pt idx="23">
                  <c:v>600.67999999999995</c:v>
                </c:pt>
                <c:pt idx="24">
                  <c:v>623.29999999999995</c:v>
                </c:pt>
                <c:pt idx="25">
                  <c:v>687.66</c:v>
                </c:pt>
                <c:pt idx="26">
                  <c:v>765.75</c:v>
                </c:pt>
                <c:pt idx="27">
                  <c:v>808.01</c:v>
                </c:pt>
                <c:pt idx="28">
                  <c:v>845.67</c:v>
                </c:pt>
                <c:pt idx="29">
                  <c:v>917.13</c:v>
                </c:pt>
                <c:pt idx="30">
                  <c:v>992.02</c:v>
                </c:pt>
                <c:pt idx="31">
                  <c:v>1026.8</c:v>
                </c:pt>
                <c:pt idx="32">
                  <c:v>1127.81</c:v>
                </c:pt>
                <c:pt idx="33">
                  <c:v>1225.69</c:v>
                </c:pt>
                <c:pt idx="34">
                  <c:v>1258.2</c:v>
                </c:pt>
                <c:pt idx="35">
                  <c:v>1316.76</c:v>
                </c:pt>
                <c:pt idx="36">
                  <c:v>1381.95</c:v>
                </c:pt>
                <c:pt idx="37">
                  <c:v>1500.55</c:v>
                </c:pt>
                <c:pt idx="38">
                  <c:v>1614.49</c:v>
                </c:pt>
                <c:pt idx="39">
                  <c:v>1672.01</c:v>
                </c:pt>
                <c:pt idx="40">
                  <c:v>1831.31</c:v>
                </c:pt>
                <c:pt idx="41">
                  <c:v>1855.43</c:v>
                </c:pt>
                <c:pt idx="42">
                  <c:v>1970.72</c:v>
                </c:pt>
                <c:pt idx="43">
                  <c:v>2130.7600000000002</c:v>
                </c:pt>
                <c:pt idx="44">
                  <c:v>2281.0300000000002</c:v>
                </c:pt>
                <c:pt idx="45">
                  <c:v>2417.6799999999998</c:v>
                </c:pt>
                <c:pt idx="46">
                  <c:v>2554.5100000000002</c:v>
                </c:pt>
                <c:pt idx="47">
                  <c:v>2602.8200000000002</c:v>
                </c:pt>
              </c:numCache>
            </c:numRef>
          </c:yVal>
          <c:smooth val="1"/>
          <c:extLst>
            <c:ext xmlns:c16="http://schemas.microsoft.com/office/drawing/2014/chart" uri="{C3380CC4-5D6E-409C-BE32-E72D297353CC}">
              <c16:uniqueId val="{00000002-944E-AC42-AD26-3BBD3D55B014}"/>
            </c:ext>
          </c:extLst>
        </c:ser>
        <c:ser>
          <c:idx val="3"/>
          <c:order val="3"/>
          <c:tx>
            <c:v>III-IV RAZRED</c:v>
          </c:tx>
          <c:spPr>
            <a:ln w="28575">
              <a:solidFill>
                <a:schemeClr val="accent4">
                  <a:alpha val="20000"/>
                </a:schemeClr>
              </a:solidFill>
            </a:ln>
            <a:effectLst/>
          </c:spPr>
          <c:marker>
            <c:symbol val="circle"/>
            <c:size val="4"/>
            <c:spPr>
              <a:solidFill>
                <a:schemeClr val="accent4"/>
              </a:solidFill>
              <a:ln w="9525" cap="flat" cmpd="sng" algn="ctr">
                <a:solidFill>
                  <a:schemeClr val="accent4"/>
                </a:solidFill>
                <a:round/>
              </a:ln>
              <a:effectLst/>
            </c:spPr>
          </c:marker>
          <c:xVal>
            <c:numRef>
              <c:f>PODATKI!$A$156:$A$203</c:f>
              <c:numCache>
                <c:formatCode>#,##0</c:formatCode>
                <c:ptCount val="48"/>
                <c:pt idx="0">
                  <c:v>10000</c:v>
                </c:pt>
                <c:pt idx="1">
                  <c:v>15000</c:v>
                </c:pt>
                <c:pt idx="2">
                  <c:v>20000</c:v>
                </c:pt>
                <c:pt idx="3">
                  <c:v>30000</c:v>
                </c:pt>
                <c:pt idx="4">
                  <c:v>40000</c:v>
                </c:pt>
                <c:pt idx="5">
                  <c:v>45000</c:v>
                </c:pt>
                <c:pt idx="6">
                  <c:v>50000</c:v>
                </c:pt>
                <c:pt idx="7">
                  <c:v>60000</c:v>
                </c:pt>
                <c:pt idx="8">
                  <c:v>70000</c:v>
                </c:pt>
                <c:pt idx="9">
                  <c:v>80000</c:v>
                </c:pt>
                <c:pt idx="10">
                  <c:v>90000</c:v>
                </c:pt>
                <c:pt idx="11">
                  <c:v>100000</c:v>
                </c:pt>
                <c:pt idx="12">
                  <c:v>120000</c:v>
                </c:pt>
                <c:pt idx="13">
                  <c:v>150000</c:v>
                </c:pt>
                <c:pt idx="14">
                  <c:v>180000</c:v>
                </c:pt>
                <c:pt idx="15">
                  <c:v>200000</c:v>
                </c:pt>
                <c:pt idx="16">
                  <c:v>210000</c:v>
                </c:pt>
                <c:pt idx="17">
                  <c:v>240000</c:v>
                </c:pt>
                <c:pt idx="18">
                  <c:v>270000</c:v>
                </c:pt>
                <c:pt idx="19">
                  <c:v>300000</c:v>
                </c:pt>
                <c:pt idx="20">
                  <c:v>375000</c:v>
                </c:pt>
                <c:pt idx="21">
                  <c:v>400000</c:v>
                </c:pt>
                <c:pt idx="22">
                  <c:v>450000</c:v>
                </c:pt>
                <c:pt idx="23">
                  <c:v>500000</c:v>
                </c:pt>
                <c:pt idx="24">
                  <c:v>525000</c:v>
                </c:pt>
                <c:pt idx="25">
                  <c:v>600000</c:v>
                </c:pt>
                <c:pt idx="26">
                  <c:v>700000</c:v>
                </c:pt>
                <c:pt idx="27">
                  <c:v>750000</c:v>
                </c:pt>
                <c:pt idx="28">
                  <c:v>800000</c:v>
                </c:pt>
                <c:pt idx="29">
                  <c:v>900000</c:v>
                </c:pt>
                <c:pt idx="30">
                  <c:v>1000000</c:v>
                </c:pt>
                <c:pt idx="31">
                  <c:v>1050000</c:v>
                </c:pt>
                <c:pt idx="32">
                  <c:v>1200000</c:v>
                </c:pt>
                <c:pt idx="33">
                  <c:v>1350000</c:v>
                </c:pt>
                <c:pt idx="34">
                  <c:v>1400000</c:v>
                </c:pt>
                <c:pt idx="35">
                  <c:v>1500000</c:v>
                </c:pt>
                <c:pt idx="36">
                  <c:v>1600000</c:v>
                </c:pt>
                <c:pt idx="37">
                  <c:v>1800000</c:v>
                </c:pt>
                <c:pt idx="38">
                  <c:v>2000000</c:v>
                </c:pt>
                <c:pt idx="39">
                  <c:v>2100000</c:v>
                </c:pt>
                <c:pt idx="40">
                  <c:v>2400000</c:v>
                </c:pt>
                <c:pt idx="41">
                  <c:v>2500000</c:v>
                </c:pt>
                <c:pt idx="42">
                  <c:v>2700000</c:v>
                </c:pt>
                <c:pt idx="43">
                  <c:v>3000000</c:v>
                </c:pt>
                <c:pt idx="44">
                  <c:v>3300000</c:v>
                </c:pt>
                <c:pt idx="45">
                  <c:v>3600000</c:v>
                </c:pt>
                <c:pt idx="46">
                  <c:v>3900000</c:v>
                </c:pt>
                <c:pt idx="47">
                  <c:v>4000000</c:v>
                </c:pt>
              </c:numCache>
            </c:numRef>
          </c:xVal>
          <c:yVal>
            <c:numRef>
              <c:f>PODATKI!$E$156:$E$203</c:f>
              <c:numCache>
                <c:formatCode>_-* #,##0.0\ _€_-;\-* #,##0.0\ _€_-;_-* "-"??\ _€_-;_-@_-</c:formatCode>
                <c:ptCount val="48"/>
                <c:pt idx="0">
                  <c:v>37</c:v>
                </c:pt>
                <c:pt idx="1">
                  <c:v>50</c:v>
                </c:pt>
                <c:pt idx="2">
                  <c:v>63</c:v>
                </c:pt>
                <c:pt idx="3">
                  <c:v>87</c:v>
                </c:pt>
                <c:pt idx="4">
                  <c:v>108</c:v>
                </c:pt>
                <c:pt idx="5">
                  <c:v>118</c:v>
                </c:pt>
                <c:pt idx="6">
                  <c:v>128</c:v>
                </c:pt>
                <c:pt idx="7">
                  <c:v>148</c:v>
                </c:pt>
                <c:pt idx="8">
                  <c:v>166</c:v>
                </c:pt>
                <c:pt idx="9">
                  <c:v>185</c:v>
                </c:pt>
                <c:pt idx="10">
                  <c:v>200</c:v>
                </c:pt>
                <c:pt idx="11">
                  <c:v>219</c:v>
                </c:pt>
                <c:pt idx="12">
                  <c:v>251</c:v>
                </c:pt>
                <c:pt idx="13">
                  <c:v>296</c:v>
                </c:pt>
                <c:pt idx="14">
                  <c:v>340</c:v>
                </c:pt>
                <c:pt idx="15">
                  <c:v>368</c:v>
                </c:pt>
                <c:pt idx="16">
                  <c:v>382</c:v>
                </c:pt>
                <c:pt idx="17">
                  <c:v>422</c:v>
                </c:pt>
                <c:pt idx="18">
                  <c:v>459</c:v>
                </c:pt>
                <c:pt idx="19">
                  <c:v>496</c:v>
                </c:pt>
                <c:pt idx="20">
                  <c:v>581</c:v>
                </c:pt>
                <c:pt idx="21">
                  <c:v>614</c:v>
                </c:pt>
                <c:pt idx="22">
                  <c:v>668</c:v>
                </c:pt>
                <c:pt idx="23">
                  <c:v>721</c:v>
                </c:pt>
                <c:pt idx="24">
                  <c:v>748</c:v>
                </c:pt>
                <c:pt idx="25">
                  <c:v>825</c:v>
                </c:pt>
                <c:pt idx="26">
                  <c:v>919</c:v>
                </c:pt>
                <c:pt idx="27">
                  <c:v>970</c:v>
                </c:pt>
                <c:pt idx="28">
                  <c:v>1015</c:v>
                </c:pt>
                <c:pt idx="29">
                  <c:v>1101</c:v>
                </c:pt>
                <c:pt idx="30">
                  <c:v>1190</c:v>
                </c:pt>
                <c:pt idx="31">
                  <c:v>1232</c:v>
                </c:pt>
                <c:pt idx="32">
                  <c:v>1352</c:v>
                </c:pt>
                <c:pt idx="33">
                  <c:v>1469</c:v>
                </c:pt>
                <c:pt idx="34">
                  <c:v>1508</c:v>
                </c:pt>
                <c:pt idx="35">
                  <c:v>1577</c:v>
                </c:pt>
                <c:pt idx="36">
                  <c:v>1656</c:v>
                </c:pt>
                <c:pt idx="37">
                  <c:v>1797</c:v>
                </c:pt>
                <c:pt idx="38">
                  <c:v>1930</c:v>
                </c:pt>
                <c:pt idx="39">
                  <c:v>1999</c:v>
                </c:pt>
                <c:pt idx="40">
                  <c:v>2188</c:v>
                </c:pt>
                <c:pt idx="41">
                  <c:v>2215</c:v>
                </c:pt>
                <c:pt idx="42">
                  <c:v>2352</c:v>
                </c:pt>
                <c:pt idx="43">
                  <c:v>2541</c:v>
                </c:pt>
                <c:pt idx="44">
                  <c:v>2717</c:v>
                </c:pt>
                <c:pt idx="45">
                  <c:v>2877</c:v>
                </c:pt>
                <c:pt idx="46">
                  <c:v>3038</c:v>
                </c:pt>
                <c:pt idx="47">
                  <c:v>3094</c:v>
                </c:pt>
              </c:numCache>
            </c:numRef>
          </c:yVal>
          <c:smooth val="1"/>
          <c:extLst>
            <c:ext xmlns:c16="http://schemas.microsoft.com/office/drawing/2014/chart" uri="{C3380CC4-5D6E-409C-BE32-E72D297353CC}">
              <c16:uniqueId val="{00000003-944E-AC42-AD26-3BBD3D55B014}"/>
            </c:ext>
          </c:extLst>
        </c:ser>
        <c:dLbls>
          <c:showLegendKey val="0"/>
          <c:showVal val="0"/>
          <c:showCatName val="0"/>
          <c:showSerName val="0"/>
          <c:showPercent val="0"/>
          <c:showBubbleSize val="0"/>
        </c:dLbls>
        <c:axId val="1662921952"/>
        <c:axId val="1662919232"/>
      </c:scatterChart>
      <c:valAx>
        <c:axId val="1662921952"/>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crossAx val="1662919232"/>
        <c:crosses val="autoZero"/>
        <c:crossBetween val="midCat"/>
      </c:valAx>
      <c:valAx>
        <c:axId val="1662919232"/>
        <c:scaling>
          <c:orientation val="minMax"/>
        </c:scaling>
        <c:delete val="0"/>
        <c:axPos val="l"/>
        <c:majorGridlines>
          <c:spPr>
            <a:ln w="9525" cap="flat" cmpd="sng" algn="ctr">
              <a:solidFill>
                <a:schemeClr val="dk1">
                  <a:lumMod val="15000"/>
                  <a:lumOff val="85000"/>
                </a:schemeClr>
              </a:solidFill>
              <a:round/>
            </a:ln>
            <a:effectLst/>
          </c:spPr>
        </c:majorGridlines>
        <c:numFmt formatCode="_-* #,##0.0\ _€_-;\-* #,##0.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crossAx val="166292195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Arial Narrow" panose="020B0606020202030204" pitchFamily="34" charset="0"/>
                <a:ea typeface="+mn-ea"/>
                <a:cs typeface="+mn-cs"/>
              </a:defRPr>
            </a:pPr>
            <a:r>
              <a:rPr lang="sl-SI">
                <a:latin typeface="Arial Narrow" panose="020B0606020202030204" pitchFamily="34" charset="0"/>
              </a:rPr>
              <a:t>izračun NU za ureditev površin</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Arial Narrow" panose="020B0606020202030204" pitchFamily="34" charset="0"/>
              <a:ea typeface="+mn-ea"/>
              <a:cs typeface="+mn-cs"/>
            </a:defRPr>
          </a:pPr>
          <a:endParaRPr lang="sl-SI"/>
        </a:p>
      </c:txPr>
    </c:title>
    <c:autoTitleDeleted val="0"/>
    <c:plotArea>
      <c:layout/>
      <c:scatterChart>
        <c:scatterStyle val="smoothMarker"/>
        <c:varyColors val="0"/>
        <c:ser>
          <c:idx val="0"/>
          <c:order val="0"/>
          <c:tx>
            <c:strRef>
              <c:f>PODATKI!$B$227</c:f>
              <c:strCache>
                <c:ptCount val="1"/>
                <c:pt idx="0">
                  <c:v>I RAZRED</c:v>
                </c:pt>
              </c:strCache>
            </c:strRef>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PODATKI!$A$228:$A$265</c:f>
              <c:numCache>
                <c:formatCode>#,##0</c:formatCode>
                <c:ptCount val="38"/>
                <c:pt idx="0">
                  <c:v>10000</c:v>
                </c:pt>
                <c:pt idx="1">
                  <c:v>20000</c:v>
                </c:pt>
                <c:pt idx="2">
                  <c:v>30000</c:v>
                </c:pt>
                <c:pt idx="3">
                  <c:v>40000</c:v>
                </c:pt>
                <c:pt idx="4">
                  <c:v>50000</c:v>
                </c:pt>
                <c:pt idx="5">
                  <c:v>75000</c:v>
                </c:pt>
                <c:pt idx="6">
                  <c:v>100000</c:v>
                </c:pt>
                <c:pt idx="7">
                  <c:v>150000</c:v>
                </c:pt>
                <c:pt idx="8">
                  <c:v>200000</c:v>
                </c:pt>
                <c:pt idx="9">
                  <c:v>250000</c:v>
                </c:pt>
                <c:pt idx="10">
                  <c:v>300000</c:v>
                </c:pt>
                <c:pt idx="11">
                  <c:v>350000</c:v>
                </c:pt>
                <c:pt idx="12">
                  <c:v>400000</c:v>
                </c:pt>
                <c:pt idx="13">
                  <c:v>450000</c:v>
                </c:pt>
                <c:pt idx="14">
                  <c:v>500000</c:v>
                </c:pt>
                <c:pt idx="15">
                  <c:v>600000</c:v>
                </c:pt>
                <c:pt idx="16">
                  <c:v>700000</c:v>
                </c:pt>
                <c:pt idx="17">
                  <c:v>800000</c:v>
                </c:pt>
                <c:pt idx="18">
                  <c:v>900000</c:v>
                </c:pt>
                <c:pt idx="19">
                  <c:v>1000000</c:v>
                </c:pt>
                <c:pt idx="20">
                  <c:v>1100000</c:v>
                </c:pt>
                <c:pt idx="21">
                  <c:v>1200000</c:v>
                </c:pt>
                <c:pt idx="22">
                  <c:v>1300000</c:v>
                </c:pt>
                <c:pt idx="23">
                  <c:v>1400000</c:v>
                </c:pt>
                <c:pt idx="24">
                  <c:v>1500000</c:v>
                </c:pt>
                <c:pt idx="25">
                  <c:v>1600000</c:v>
                </c:pt>
                <c:pt idx="26">
                  <c:v>1700000</c:v>
                </c:pt>
                <c:pt idx="27">
                  <c:v>1800000</c:v>
                </c:pt>
                <c:pt idx="28">
                  <c:v>1900000</c:v>
                </c:pt>
                <c:pt idx="29">
                  <c:v>2000000</c:v>
                </c:pt>
                <c:pt idx="30">
                  <c:v>2250000</c:v>
                </c:pt>
                <c:pt idx="31">
                  <c:v>2500000</c:v>
                </c:pt>
                <c:pt idx="32">
                  <c:v>2750000</c:v>
                </c:pt>
                <c:pt idx="33">
                  <c:v>3000000</c:v>
                </c:pt>
                <c:pt idx="34">
                  <c:v>3500000</c:v>
                </c:pt>
                <c:pt idx="35">
                  <c:v>4000000</c:v>
                </c:pt>
                <c:pt idx="36">
                  <c:v>4500000</c:v>
                </c:pt>
                <c:pt idx="37">
                  <c:v>5000000</c:v>
                </c:pt>
              </c:numCache>
            </c:numRef>
          </c:xVal>
          <c:yVal>
            <c:numRef>
              <c:f>PODATKI!$B$228:$B$265</c:f>
              <c:numCache>
                <c:formatCode>#,##0.0</c:formatCode>
                <c:ptCount val="38"/>
                <c:pt idx="0">
                  <c:v>11.2</c:v>
                </c:pt>
                <c:pt idx="1">
                  <c:v>22.5</c:v>
                </c:pt>
                <c:pt idx="2">
                  <c:v>33.700000000000003</c:v>
                </c:pt>
                <c:pt idx="3">
                  <c:v>44.9</c:v>
                </c:pt>
                <c:pt idx="4">
                  <c:v>56.1</c:v>
                </c:pt>
                <c:pt idx="5">
                  <c:v>83.3</c:v>
                </c:pt>
                <c:pt idx="6">
                  <c:v>109.8</c:v>
                </c:pt>
                <c:pt idx="7">
                  <c:v>161.1</c:v>
                </c:pt>
                <c:pt idx="8">
                  <c:v>210.1</c:v>
                </c:pt>
                <c:pt idx="9">
                  <c:v>256.7</c:v>
                </c:pt>
                <c:pt idx="10">
                  <c:v>301</c:v>
                </c:pt>
                <c:pt idx="11">
                  <c:v>342.7</c:v>
                </c:pt>
                <c:pt idx="12">
                  <c:v>382</c:v>
                </c:pt>
                <c:pt idx="13">
                  <c:v>419.3</c:v>
                </c:pt>
                <c:pt idx="14">
                  <c:v>454.2</c:v>
                </c:pt>
                <c:pt idx="15">
                  <c:v>542.29999999999995</c:v>
                </c:pt>
                <c:pt idx="16">
                  <c:v>629.4</c:v>
                </c:pt>
                <c:pt idx="17">
                  <c:v>715.6</c:v>
                </c:pt>
                <c:pt idx="18">
                  <c:v>800.8</c:v>
                </c:pt>
                <c:pt idx="19">
                  <c:v>885.1</c:v>
                </c:pt>
                <c:pt idx="20">
                  <c:v>968.4</c:v>
                </c:pt>
                <c:pt idx="21">
                  <c:v>1050.8</c:v>
                </c:pt>
                <c:pt idx="22">
                  <c:v>1132.3</c:v>
                </c:pt>
                <c:pt idx="23">
                  <c:v>1212.8</c:v>
                </c:pt>
                <c:pt idx="24">
                  <c:v>1292.4000000000001</c:v>
                </c:pt>
                <c:pt idx="25">
                  <c:v>1371</c:v>
                </c:pt>
                <c:pt idx="26">
                  <c:v>1448.7</c:v>
                </c:pt>
                <c:pt idx="27">
                  <c:v>1525.3</c:v>
                </c:pt>
                <c:pt idx="28">
                  <c:v>1601.1</c:v>
                </c:pt>
                <c:pt idx="29">
                  <c:v>1675.8</c:v>
                </c:pt>
                <c:pt idx="30">
                  <c:v>1858.5</c:v>
                </c:pt>
                <c:pt idx="31">
                  <c:v>2035</c:v>
                </c:pt>
                <c:pt idx="32">
                  <c:v>2205.5</c:v>
                </c:pt>
                <c:pt idx="33">
                  <c:v>2369.6999999999998</c:v>
                </c:pt>
                <c:pt idx="34">
                  <c:v>2679.2</c:v>
                </c:pt>
                <c:pt idx="35">
                  <c:v>2963.1</c:v>
                </c:pt>
                <c:pt idx="36">
                  <c:v>3221</c:v>
                </c:pt>
                <c:pt idx="37">
                  <c:v>3452.3</c:v>
                </c:pt>
              </c:numCache>
            </c:numRef>
          </c:yVal>
          <c:smooth val="1"/>
          <c:extLst>
            <c:ext xmlns:c16="http://schemas.microsoft.com/office/drawing/2014/chart" uri="{C3380CC4-5D6E-409C-BE32-E72D297353CC}">
              <c16:uniqueId val="{00000000-A8C4-F044-A1FB-515A707F0531}"/>
            </c:ext>
          </c:extLst>
        </c:ser>
        <c:ser>
          <c:idx val="1"/>
          <c:order val="1"/>
          <c:tx>
            <c:strRef>
              <c:f>PODATKI!$C$227</c:f>
              <c:strCache>
                <c:ptCount val="1"/>
                <c:pt idx="0">
                  <c:v>I-II RAZRED</c:v>
                </c:pt>
              </c:strCache>
            </c:strRef>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PODATKI!$A$228:$A$265</c:f>
              <c:numCache>
                <c:formatCode>#,##0</c:formatCode>
                <c:ptCount val="38"/>
                <c:pt idx="0">
                  <c:v>10000</c:v>
                </c:pt>
                <c:pt idx="1">
                  <c:v>20000</c:v>
                </c:pt>
                <c:pt idx="2">
                  <c:v>30000</c:v>
                </c:pt>
                <c:pt idx="3">
                  <c:v>40000</c:v>
                </c:pt>
                <c:pt idx="4">
                  <c:v>50000</c:v>
                </c:pt>
                <c:pt idx="5">
                  <c:v>75000</c:v>
                </c:pt>
                <c:pt idx="6">
                  <c:v>100000</c:v>
                </c:pt>
                <c:pt idx="7">
                  <c:v>150000</c:v>
                </c:pt>
                <c:pt idx="8">
                  <c:v>200000</c:v>
                </c:pt>
                <c:pt idx="9">
                  <c:v>250000</c:v>
                </c:pt>
                <c:pt idx="10">
                  <c:v>300000</c:v>
                </c:pt>
                <c:pt idx="11">
                  <c:v>350000</c:v>
                </c:pt>
                <c:pt idx="12">
                  <c:v>400000</c:v>
                </c:pt>
                <c:pt idx="13">
                  <c:v>450000</c:v>
                </c:pt>
                <c:pt idx="14">
                  <c:v>500000</c:v>
                </c:pt>
                <c:pt idx="15">
                  <c:v>600000</c:v>
                </c:pt>
                <c:pt idx="16">
                  <c:v>700000</c:v>
                </c:pt>
                <c:pt idx="17">
                  <c:v>800000</c:v>
                </c:pt>
                <c:pt idx="18">
                  <c:v>900000</c:v>
                </c:pt>
                <c:pt idx="19">
                  <c:v>1000000</c:v>
                </c:pt>
                <c:pt idx="20">
                  <c:v>1100000</c:v>
                </c:pt>
                <c:pt idx="21">
                  <c:v>1200000</c:v>
                </c:pt>
                <c:pt idx="22">
                  <c:v>1300000</c:v>
                </c:pt>
                <c:pt idx="23">
                  <c:v>1400000</c:v>
                </c:pt>
                <c:pt idx="24">
                  <c:v>1500000</c:v>
                </c:pt>
                <c:pt idx="25">
                  <c:v>1600000</c:v>
                </c:pt>
                <c:pt idx="26">
                  <c:v>1700000</c:v>
                </c:pt>
                <c:pt idx="27">
                  <c:v>1800000</c:v>
                </c:pt>
                <c:pt idx="28">
                  <c:v>1900000</c:v>
                </c:pt>
                <c:pt idx="29">
                  <c:v>2000000</c:v>
                </c:pt>
                <c:pt idx="30">
                  <c:v>2250000</c:v>
                </c:pt>
                <c:pt idx="31">
                  <c:v>2500000</c:v>
                </c:pt>
                <c:pt idx="32">
                  <c:v>2750000</c:v>
                </c:pt>
                <c:pt idx="33">
                  <c:v>3000000</c:v>
                </c:pt>
                <c:pt idx="34">
                  <c:v>3500000</c:v>
                </c:pt>
                <c:pt idx="35">
                  <c:v>4000000</c:v>
                </c:pt>
                <c:pt idx="36">
                  <c:v>4500000</c:v>
                </c:pt>
                <c:pt idx="37">
                  <c:v>5000000</c:v>
                </c:pt>
              </c:numCache>
            </c:numRef>
          </c:xVal>
          <c:yVal>
            <c:numRef>
              <c:f>PODATKI!$C$228:$C$265</c:f>
              <c:numCache>
                <c:formatCode>#,##0.0</c:formatCode>
                <c:ptCount val="38"/>
                <c:pt idx="0">
                  <c:v>13.7</c:v>
                </c:pt>
                <c:pt idx="1">
                  <c:v>27.3</c:v>
                </c:pt>
                <c:pt idx="2">
                  <c:v>41</c:v>
                </c:pt>
                <c:pt idx="3">
                  <c:v>54.6</c:v>
                </c:pt>
                <c:pt idx="4">
                  <c:v>68.3</c:v>
                </c:pt>
                <c:pt idx="5">
                  <c:v>101.4</c:v>
                </c:pt>
                <c:pt idx="6">
                  <c:v>133.69999999999999</c:v>
                </c:pt>
                <c:pt idx="7">
                  <c:v>196.2</c:v>
                </c:pt>
                <c:pt idx="8">
                  <c:v>255.7</c:v>
                </c:pt>
                <c:pt idx="9">
                  <c:v>312.2</c:v>
                </c:pt>
                <c:pt idx="10">
                  <c:v>365.8</c:v>
                </c:pt>
                <c:pt idx="11">
                  <c:v>416.2</c:v>
                </c:pt>
                <c:pt idx="12">
                  <c:v>463.6</c:v>
                </c:pt>
                <c:pt idx="13">
                  <c:v>508.2</c:v>
                </c:pt>
                <c:pt idx="14">
                  <c:v>549.70000000000005</c:v>
                </c:pt>
                <c:pt idx="15">
                  <c:v>656.1</c:v>
                </c:pt>
                <c:pt idx="16">
                  <c:v>761.3</c:v>
                </c:pt>
                <c:pt idx="17">
                  <c:v>865.2</c:v>
                </c:pt>
                <c:pt idx="18">
                  <c:v>967.9</c:v>
                </c:pt>
                <c:pt idx="19">
                  <c:v>1069.5</c:v>
                </c:pt>
                <c:pt idx="20">
                  <c:v>1169.9000000000001</c:v>
                </c:pt>
                <c:pt idx="21">
                  <c:v>1269</c:v>
                </c:pt>
                <c:pt idx="22">
                  <c:v>1367</c:v>
                </c:pt>
                <c:pt idx="23">
                  <c:v>1463.7</c:v>
                </c:pt>
                <c:pt idx="24">
                  <c:v>1559.2</c:v>
                </c:pt>
                <c:pt idx="25">
                  <c:v>1653.6</c:v>
                </c:pt>
                <c:pt idx="26">
                  <c:v>1746.7</c:v>
                </c:pt>
                <c:pt idx="27">
                  <c:v>1838.6</c:v>
                </c:pt>
                <c:pt idx="28">
                  <c:v>1929.3</c:v>
                </c:pt>
                <c:pt idx="29">
                  <c:v>2018.9</c:v>
                </c:pt>
                <c:pt idx="30">
                  <c:v>2237.4</c:v>
                </c:pt>
                <c:pt idx="31">
                  <c:v>2448.3000000000002</c:v>
                </c:pt>
                <c:pt idx="32">
                  <c:v>2651.8</c:v>
                </c:pt>
                <c:pt idx="33">
                  <c:v>2847.6</c:v>
                </c:pt>
                <c:pt idx="34">
                  <c:v>3216.7</c:v>
                </c:pt>
                <c:pt idx="35">
                  <c:v>3555.6</c:v>
                </c:pt>
                <c:pt idx="36">
                  <c:v>3864.1</c:v>
                </c:pt>
                <c:pt idx="37">
                  <c:v>4142.5</c:v>
                </c:pt>
              </c:numCache>
            </c:numRef>
          </c:yVal>
          <c:smooth val="1"/>
          <c:extLst>
            <c:ext xmlns:c16="http://schemas.microsoft.com/office/drawing/2014/chart" uri="{C3380CC4-5D6E-409C-BE32-E72D297353CC}">
              <c16:uniqueId val="{00000001-A8C4-F044-A1FB-515A707F0531}"/>
            </c:ext>
          </c:extLst>
        </c:ser>
        <c:ser>
          <c:idx val="2"/>
          <c:order val="2"/>
          <c:tx>
            <c:strRef>
              <c:f>PODATKI!$D$227</c:f>
              <c:strCache>
                <c:ptCount val="1"/>
                <c:pt idx="0">
                  <c:v>II-III RAZRED</c:v>
                </c:pt>
              </c:strCache>
            </c:strRef>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PODATKI!$A$228:$A$265</c:f>
              <c:numCache>
                <c:formatCode>#,##0</c:formatCode>
                <c:ptCount val="38"/>
                <c:pt idx="0">
                  <c:v>10000</c:v>
                </c:pt>
                <c:pt idx="1">
                  <c:v>20000</c:v>
                </c:pt>
                <c:pt idx="2">
                  <c:v>30000</c:v>
                </c:pt>
                <c:pt idx="3">
                  <c:v>40000</c:v>
                </c:pt>
                <c:pt idx="4">
                  <c:v>50000</c:v>
                </c:pt>
                <c:pt idx="5">
                  <c:v>75000</c:v>
                </c:pt>
                <c:pt idx="6">
                  <c:v>100000</c:v>
                </c:pt>
                <c:pt idx="7">
                  <c:v>150000</c:v>
                </c:pt>
                <c:pt idx="8">
                  <c:v>200000</c:v>
                </c:pt>
                <c:pt idx="9">
                  <c:v>250000</c:v>
                </c:pt>
                <c:pt idx="10">
                  <c:v>300000</c:v>
                </c:pt>
                <c:pt idx="11">
                  <c:v>350000</c:v>
                </c:pt>
                <c:pt idx="12">
                  <c:v>400000</c:v>
                </c:pt>
                <c:pt idx="13">
                  <c:v>450000</c:v>
                </c:pt>
                <c:pt idx="14">
                  <c:v>500000</c:v>
                </c:pt>
                <c:pt idx="15">
                  <c:v>600000</c:v>
                </c:pt>
                <c:pt idx="16">
                  <c:v>700000</c:v>
                </c:pt>
                <c:pt idx="17">
                  <c:v>800000</c:v>
                </c:pt>
                <c:pt idx="18">
                  <c:v>900000</c:v>
                </c:pt>
                <c:pt idx="19">
                  <c:v>1000000</c:v>
                </c:pt>
                <c:pt idx="20">
                  <c:v>1100000</c:v>
                </c:pt>
                <c:pt idx="21">
                  <c:v>1200000</c:v>
                </c:pt>
                <c:pt idx="22">
                  <c:v>1300000</c:v>
                </c:pt>
                <c:pt idx="23">
                  <c:v>1400000</c:v>
                </c:pt>
                <c:pt idx="24">
                  <c:v>1500000</c:v>
                </c:pt>
                <c:pt idx="25">
                  <c:v>1600000</c:v>
                </c:pt>
                <c:pt idx="26">
                  <c:v>1700000</c:v>
                </c:pt>
                <c:pt idx="27">
                  <c:v>1800000</c:v>
                </c:pt>
                <c:pt idx="28">
                  <c:v>1900000</c:v>
                </c:pt>
                <c:pt idx="29">
                  <c:v>2000000</c:v>
                </c:pt>
                <c:pt idx="30">
                  <c:v>2250000</c:v>
                </c:pt>
                <c:pt idx="31">
                  <c:v>2500000</c:v>
                </c:pt>
                <c:pt idx="32">
                  <c:v>2750000</c:v>
                </c:pt>
                <c:pt idx="33">
                  <c:v>3000000</c:v>
                </c:pt>
                <c:pt idx="34">
                  <c:v>3500000</c:v>
                </c:pt>
                <c:pt idx="35">
                  <c:v>4000000</c:v>
                </c:pt>
                <c:pt idx="36">
                  <c:v>4500000</c:v>
                </c:pt>
                <c:pt idx="37">
                  <c:v>5000000</c:v>
                </c:pt>
              </c:numCache>
            </c:numRef>
          </c:xVal>
          <c:yVal>
            <c:numRef>
              <c:f>PODATKI!$D$228:$D$265</c:f>
              <c:numCache>
                <c:formatCode>#,##0.0</c:formatCode>
                <c:ptCount val="38"/>
                <c:pt idx="0">
                  <c:v>16.2</c:v>
                </c:pt>
                <c:pt idx="1">
                  <c:v>32.4</c:v>
                </c:pt>
                <c:pt idx="2">
                  <c:v>48.6</c:v>
                </c:pt>
                <c:pt idx="3">
                  <c:v>64.7</c:v>
                </c:pt>
                <c:pt idx="4">
                  <c:v>80.900000000000006</c:v>
                </c:pt>
                <c:pt idx="5">
                  <c:v>120</c:v>
                </c:pt>
                <c:pt idx="6">
                  <c:v>158.1</c:v>
                </c:pt>
                <c:pt idx="7">
                  <c:v>231.5</c:v>
                </c:pt>
                <c:pt idx="8">
                  <c:v>301.3</c:v>
                </c:pt>
                <c:pt idx="9">
                  <c:v>367.5</c:v>
                </c:pt>
                <c:pt idx="10">
                  <c:v>430</c:v>
                </c:pt>
                <c:pt idx="11">
                  <c:v>488.9</c:v>
                </c:pt>
                <c:pt idx="12">
                  <c:v>544.29999999999995</c:v>
                </c:pt>
                <c:pt idx="13">
                  <c:v>595.9</c:v>
                </c:pt>
                <c:pt idx="14">
                  <c:v>643.9</c:v>
                </c:pt>
                <c:pt idx="15">
                  <c:v>768.3</c:v>
                </c:pt>
                <c:pt idx="16">
                  <c:v>891.3</c:v>
                </c:pt>
                <c:pt idx="17">
                  <c:v>1012.8</c:v>
                </c:pt>
                <c:pt idx="18">
                  <c:v>1132.8</c:v>
                </c:pt>
                <c:pt idx="19">
                  <c:v>1251.4000000000001</c:v>
                </c:pt>
                <c:pt idx="20">
                  <c:v>1368.6</c:v>
                </c:pt>
                <c:pt idx="21">
                  <c:v>1484.3</c:v>
                </c:pt>
                <c:pt idx="22">
                  <c:v>1598.5</c:v>
                </c:pt>
                <c:pt idx="23">
                  <c:v>1711.3</c:v>
                </c:pt>
                <c:pt idx="24">
                  <c:v>1822.7</c:v>
                </c:pt>
                <c:pt idx="25">
                  <c:v>1932.6</c:v>
                </c:pt>
                <c:pt idx="26">
                  <c:v>2041</c:v>
                </c:pt>
                <c:pt idx="27">
                  <c:v>2148.1</c:v>
                </c:pt>
                <c:pt idx="28">
                  <c:v>2253.6</c:v>
                </c:pt>
                <c:pt idx="29">
                  <c:v>2357.6999999999998</c:v>
                </c:pt>
                <c:pt idx="30">
                  <c:v>2611.6999999999998</c:v>
                </c:pt>
                <c:pt idx="31">
                  <c:v>2856.6</c:v>
                </c:pt>
                <c:pt idx="32">
                  <c:v>3092.5</c:v>
                </c:pt>
                <c:pt idx="33">
                  <c:v>3319.4</c:v>
                </c:pt>
                <c:pt idx="34">
                  <c:v>3746</c:v>
                </c:pt>
                <c:pt idx="35">
                  <c:v>4136.7</c:v>
                </c:pt>
                <c:pt idx="36">
                  <c:v>4491.2</c:v>
                </c:pt>
                <c:pt idx="37">
                  <c:v>4809.7</c:v>
                </c:pt>
              </c:numCache>
            </c:numRef>
          </c:yVal>
          <c:smooth val="1"/>
          <c:extLst>
            <c:ext xmlns:c16="http://schemas.microsoft.com/office/drawing/2014/chart" uri="{C3380CC4-5D6E-409C-BE32-E72D297353CC}">
              <c16:uniqueId val="{00000002-A8C4-F044-A1FB-515A707F0531}"/>
            </c:ext>
          </c:extLst>
        </c:ser>
        <c:ser>
          <c:idx val="3"/>
          <c:order val="3"/>
          <c:tx>
            <c:strRef>
              <c:f>PODATKI!$E$227</c:f>
              <c:strCache>
                <c:ptCount val="1"/>
                <c:pt idx="0">
                  <c:v>III RAZRED</c:v>
                </c:pt>
              </c:strCache>
            </c:strRef>
          </c:tx>
          <c:spPr>
            <a:ln w="28575">
              <a:solidFill>
                <a:schemeClr val="accent4">
                  <a:alpha val="20000"/>
                </a:schemeClr>
              </a:solidFill>
            </a:ln>
            <a:effectLst/>
          </c:spPr>
          <c:marker>
            <c:symbol val="circle"/>
            <c:size val="4"/>
            <c:spPr>
              <a:solidFill>
                <a:schemeClr val="accent4"/>
              </a:solidFill>
              <a:ln w="9525" cap="flat" cmpd="sng" algn="ctr">
                <a:solidFill>
                  <a:schemeClr val="accent4"/>
                </a:solidFill>
                <a:round/>
              </a:ln>
              <a:effectLst/>
            </c:spPr>
          </c:marker>
          <c:xVal>
            <c:numRef>
              <c:f>PODATKI!$A$228:$A$265</c:f>
              <c:numCache>
                <c:formatCode>#,##0</c:formatCode>
                <c:ptCount val="38"/>
                <c:pt idx="0">
                  <c:v>10000</c:v>
                </c:pt>
                <c:pt idx="1">
                  <c:v>20000</c:v>
                </c:pt>
                <c:pt idx="2">
                  <c:v>30000</c:v>
                </c:pt>
                <c:pt idx="3">
                  <c:v>40000</c:v>
                </c:pt>
                <c:pt idx="4">
                  <c:v>50000</c:v>
                </c:pt>
                <c:pt idx="5">
                  <c:v>75000</c:v>
                </c:pt>
                <c:pt idx="6">
                  <c:v>100000</c:v>
                </c:pt>
                <c:pt idx="7">
                  <c:v>150000</c:v>
                </c:pt>
                <c:pt idx="8">
                  <c:v>200000</c:v>
                </c:pt>
                <c:pt idx="9">
                  <c:v>250000</c:v>
                </c:pt>
                <c:pt idx="10">
                  <c:v>300000</c:v>
                </c:pt>
                <c:pt idx="11">
                  <c:v>350000</c:v>
                </c:pt>
                <c:pt idx="12">
                  <c:v>400000</c:v>
                </c:pt>
                <c:pt idx="13">
                  <c:v>450000</c:v>
                </c:pt>
                <c:pt idx="14">
                  <c:v>500000</c:v>
                </c:pt>
                <c:pt idx="15">
                  <c:v>600000</c:v>
                </c:pt>
                <c:pt idx="16">
                  <c:v>700000</c:v>
                </c:pt>
                <c:pt idx="17">
                  <c:v>800000</c:v>
                </c:pt>
                <c:pt idx="18">
                  <c:v>900000</c:v>
                </c:pt>
                <c:pt idx="19">
                  <c:v>1000000</c:v>
                </c:pt>
                <c:pt idx="20">
                  <c:v>1100000</c:v>
                </c:pt>
                <c:pt idx="21">
                  <c:v>1200000</c:v>
                </c:pt>
                <c:pt idx="22">
                  <c:v>1300000</c:v>
                </c:pt>
                <c:pt idx="23">
                  <c:v>1400000</c:v>
                </c:pt>
                <c:pt idx="24">
                  <c:v>1500000</c:v>
                </c:pt>
                <c:pt idx="25">
                  <c:v>1600000</c:v>
                </c:pt>
                <c:pt idx="26">
                  <c:v>1700000</c:v>
                </c:pt>
                <c:pt idx="27">
                  <c:v>1800000</c:v>
                </c:pt>
                <c:pt idx="28">
                  <c:v>1900000</c:v>
                </c:pt>
                <c:pt idx="29">
                  <c:v>2000000</c:v>
                </c:pt>
                <c:pt idx="30">
                  <c:v>2250000</c:v>
                </c:pt>
                <c:pt idx="31">
                  <c:v>2500000</c:v>
                </c:pt>
                <c:pt idx="32">
                  <c:v>2750000</c:v>
                </c:pt>
                <c:pt idx="33">
                  <c:v>3000000</c:v>
                </c:pt>
                <c:pt idx="34">
                  <c:v>3500000</c:v>
                </c:pt>
                <c:pt idx="35">
                  <c:v>4000000</c:v>
                </c:pt>
                <c:pt idx="36">
                  <c:v>4500000</c:v>
                </c:pt>
                <c:pt idx="37">
                  <c:v>5000000</c:v>
                </c:pt>
              </c:numCache>
            </c:numRef>
          </c:xVal>
          <c:yVal>
            <c:numRef>
              <c:f>PODATKI!$E$228:$E$265</c:f>
              <c:numCache>
                <c:formatCode>#,##0.0</c:formatCode>
                <c:ptCount val="38"/>
                <c:pt idx="0">
                  <c:v>18.600000000000001</c:v>
                </c:pt>
                <c:pt idx="1">
                  <c:v>37.200000000000003</c:v>
                </c:pt>
                <c:pt idx="2">
                  <c:v>55.8</c:v>
                </c:pt>
                <c:pt idx="3">
                  <c:v>74.400000000000006</c:v>
                </c:pt>
                <c:pt idx="4">
                  <c:v>93.1</c:v>
                </c:pt>
                <c:pt idx="5">
                  <c:v>138</c:v>
                </c:pt>
                <c:pt idx="6">
                  <c:v>181.9</c:v>
                </c:pt>
                <c:pt idx="7">
                  <c:v>266.60000000000002</c:v>
                </c:pt>
                <c:pt idx="8">
                  <c:v>347</c:v>
                </c:pt>
                <c:pt idx="9">
                  <c:v>423</c:v>
                </c:pt>
                <c:pt idx="10">
                  <c:v>494.7</c:v>
                </c:pt>
                <c:pt idx="11">
                  <c:v>562.4</c:v>
                </c:pt>
                <c:pt idx="12">
                  <c:v>625.9</c:v>
                </c:pt>
                <c:pt idx="13">
                  <c:v>684.8</c:v>
                </c:pt>
                <c:pt idx="14">
                  <c:v>739.4</c:v>
                </c:pt>
                <c:pt idx="15">
                  <c:v>882.1</c:v>
                </c:pt>
                <c:pt idx="16">
                  <c:v>1023.1</c:v>
                </c:pt>
                <c:pt idx="17">
                  <c:v>1162.4000000000001</c:v>
                </c:pt>
                <c:pt idx="18">
                  <c:v>1300</c:v>
                </c:pt>
                <c:pt idx="19">
                  <c:v>1435.8</c:v>
                </c:pt>
                <c:pt idx="20">
                  <c:v>1570</c:v>
                </c:pt>
                <c:pt idx="21">
                  <c:v>1702.4</c:v>
                </c:pt>
                <c:pt idx="22">
                  <c:v>1833.2</c:v>
                </c:pt>
                <c:pt idx="23">
                  <c:v>1962.2</c:v>
                </c:pt>
                <c:pt idx="24">
                  <c:v>2089.5</c:v>
                </c:pt>
                <c:pt idx="25">
                  <c:v>2215.1999999999998</c:v>
                </c:pt>
                <c:pt idx="26">
                  <c:v>2339.1</c:v>
                </c:pt>
                <c:pt idx="27">
                  <c:v>2461.4</c:v>
                </c:pt>
                <c:pt idx="28">
                  <c:v>2582</c:v>
                </c:pt>
                <c:pt idx="29">
                  <c:v>2700.8</c:v>
                </c:pt>
                <c:pt idx="30">
                  <c:v>2990.6</c:v>
                </c:pt>
                <c:pt idx="31">
                  <c:v>3269.9</c:v>
                </c:pt>
                <c:pt idx="32">
                  <c:v>3538.8</c:v>
                </c:pt>
                <c:pt idx="33">
                  <c:v>3797.4</c:v>
                </c:pt>
                <c:pt idx="34">
                  <c:v>4283.6000000000004</c:v>
                </c:pt>
                <c:pt idx="35">
                  <c:v>4729.1000000000004</c:v>
                </c:pt>
                <c:pt idx="36">
                  <c:v>5134.3</c:v>
                </c:pt>
                <c:pt idx="37">
                  <c:v>5499.8</c:v>
                </c:pt>
              </c:numCache>
            </c:numRef>
          </c:yVal>
          <c:smooth val="1"/>
          <c:extLst>
            <c:ext xmlns:c16="http://schemas.microsoft.com/office/drawing/2014/chart" uri="{C3380CC4-5D6E-409C-BE32-E72D297353CC}">
              <c16:uniqueId val="{00000003-A8C4-F044-A1FB-515A707F0531}"/>
            </c:ext>
          </c:extLst>
        </c:ser>
        <c:dLbls>
          <c:showLegendKey val="0"/>
          <c:showVal val="0"/>
          <c:showCatName val="0"/>
          <c:showSerName val="0"/>
          <c:showPercent val="0"/>
          <c:showBubbleSize val="0"/>
        </c:dLbls>
        <c:axId val="1662929568"/>
        <c:axId val="1662934464"/>
      </c:scatterChart>
      <c:valAx>
        <c:axId val="1662929568"/>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crossAx val="1662934464"/>
        <c:crosses val="autoZero"/>
        <c:crossBetween val="midCat"/>
      </c:valAx>
      <c:valAx>
        <c:axId val="166293446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crossAx val="16629295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Arial Narrow" panose="020B0606020202030204" pitchFamily="34" charset="0"/>
              <a:ea typeface="+mn-ea"/>
              <a:cs typeface="+mn-cs"/>
            </a:defRPr>
          </a:pPr>
          <a:endParaRPr lang="sl-SI"/>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53975</xdr:rowOff>
    </xdr:from>
    <xdr:to>
      <xdr:col>0</xdr:col>
      <xdr:colOff>838200</xdr:colOff>
      <xdr:row>2</xdr:row>
      <xdr:rowOff>622300</xdr:rowOff>
    </xdr:to>
    <xdr:pic>
      <xdr:nvPicPr>
        <xdr:cNvPr id="2" name="Picture 1" descr="znakZAPS">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15900"/>
          <a:ext cx="828675" cy="81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34925</xdr:rowOff>
    </xdr:from>
    <xdr:to>
      <xdr:col>0</xdr:col>
      <xdr:colOff>838200</xdr:colOff>
      <xdr:row>2</xdr:row>
      <xdr:rowOff>603250</xdr:rowOff>
    </xdr:to>
    <xdr:pic>
      <xdr:nvPicPr>
        <xdr:cNvPr id="2" name="Picture 1" descr="znakZAPS">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96850"/>
          <a:ext cx="828675" cy="81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97</xdr:row>
      <xdr:rowOff>14287</xdr:rowOff>
    </xdr:from>
    <xdr:to>
      <xdr:col>2</xdr:col>
      <xdr:colOff>295275</xdr:colOff>
      <xdr:row>114</xdr:row>
      <xdr:rowOff>4762</xdr:rowOff>
    </xdr:to>
    <xdr:graphicFrame macro="">
      <xdr:nvGraphicFramePr>
        <xdr:cNvPr id="2" name="ARHITEKTURA 50.000 - 500.000">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28576</xdr:colOff>
      <xdr:row>97</xdr:row>
      <xdr:rowOff>19050</xdr:rowOff>
    </xdr:from>
    <xdr:to>
      <xdr:col>7</xdr:col>
      <xdr:colOff>314326</xdr:colOff>
      <xdr:row>114</xdr:row>
      <xdr:rowOff>9525</xdr:rowOff>
    </xdr:to>
    <xdr:graphicFrame macro="">
      <xdr:nvGraphicFramePr>
        <xdr:cNvPr id="4" name="ARHITEKTURA 50.000 - 500.00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571500</xdr:colOff>
      <xdr:row>97</xdr:row>
      <xdr:rowOff>38100</xdr:rowOff>
    </xdr:from>
    <xdr:to>
      <xdr:col>12</xdr:col>
      <xdr:colOff>333375</xdr:colOff>
      <xdr:row>114</xdr:row>
      <xdr:rowOff>28575</xdr:rowOff>
    </xdr:to>
    <xdr:graphicFrame macro="">
      <xdr:nvGraphicFramePr>
        <xdr:cNvPr id="5" name="ARHITEKTURA 50.000 - 500.000">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38100</xdr:colOff>
      <xdr:row>97</xdr:row>
      <xdr:rowOff>28575</xdr:rowOff>
    </xdr:from>
    <xdr:to>
      <xdr:col>16</xdr:col>
      <xdr:colOff>447675</xdr:colOff>
      <xdr:row>114</xdr:row>
      <xdr:rowOff>19050</xdr:rowOff>
    </xdr:to>
    <xdr:graphicFrame macro="">
      <xdr:nvGraphicFramePr>
        <xdr:cNvPr id="6" name="ARHITEKTURA 50.000 - 500.000">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116</xdr:row>
      <xdr:rowOff>0</xdr:rowOff>
    </xdr:from>
    <xdr:to>
      <xdr:col>25</xdr:col>
      <xdr:colOff>314324</xdr:colOff>
      <xdr:row>132</xdr:row>
      <xdr:rowOff>152400</xdr:rowOff>
    </xdr:to>
    <xdr:graphicFrame macro="">
      <xdr:nvGraphicFramePr>
        <xdr:cNvPr id="7" name="ARHITEKTURA 50.000 - 500.000">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133</xdr:row>
      <xdr:rowOff>47625</xdr:rowOff>
    </xdr:from>
    <xdr:to>
      <xdr:col>25</xdr:col>
      <xdr:colOff>352424</xdr:colOff>
      <xdr:row>150</xdr:row>
      <xdr:rowOff>38100</xdr:rowOff>
    </xdr:to>
    <xdr:graphicFrame macro="">
      <xdr:nvGraphicFramePr>
        <xdr:cNvPr id="8" name="ARHITEKTURA 50.000 - 500.000">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1323974</xdr:colOff>
      <xdr:row>205</xdr:row>
      <xdr:rowOff>0</xdr:rowOff>
    </xdr:from>
    <xdr:to>
      <xdr:col>9</xdr:col>
      <xdr:colOff>771524</xdr:colOff>
      <xdr:row>221</xdr:row>
      <xdr:rowOff>152400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830580</xdr:colOff>
      <xdr:row>266</xdr:row>
      <xdr:rowOff>0</xdr:rowOff>
    </xdr:from>
    <xdr:to>
      <xdr:col>4</xdr:col>
      <xdr:colOff>556260</xdr:colOff>
      <xdr:row>282</xdr:row>
      <xdr:rowOff>60960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ma/Downloads/Arhigram3%20v0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
      <sheetName val="NU"/>
      <sheetName val="PODATKI"/>
      <sheetName val="KALKULACIJA OBRAČUNSKE URE"/>
    </sheetNames>
    <sheetDataSet>
      <sheetData sheetId="0" refreshError="1"/>
      <sheetData sheetId="1" refreshError="1"/>
      <sheetData sheetId="2">
        <row r="3">
          <cell r="A3" t="str">
            <v>POSLOVNI OBJEKT</v>
          </cell>
          <cell r="I3" t="str">
            <v>IDZ-IDP-PGD-PZI</v>
          </cell>
        </row>
        <row r="4">
          <cell r="A4" t="str">
            <v>BOLNICA</v>
          </cell>
          <cell r="I4" t="str">
            <v>IDZ-PGD-PZI</v>
          </cell>
        </row>
        <row r="5">
          <cell r="A5" t="str">
            <v>OSNOVNA ŠOLA</v>
          </cell>
        </row>
        <row r="6">
          <cell r="A6" t="str">
            <v>SREDNJA ŠOLA</v>
          </cell>
        </row>
        <row r="7">
          <cell r="A7" t="str">
            <v>OTROŠKI VRTEC</v>
          </cell>
        </row>
        <row r="8">
          <cell r="A8" t="str">
            <v>ŠPORTNA DVORANA</v>
          </cell>
          <cell r="I8" t="str">
            <v>DA</v>
          </cell>
        </row>
        <row r="9">
          <cell r="A9" t="str">
            <v>ENODRUŽINSKA HIŠA</v>
          </cell>
          <cell r="I9" t="str">
            <v>NE</v>
          </cell>
        </row>
        <row r="10">
          <cell r="A10" t="str">
            <v>VRSTNE HIŠE</v>
          </cell>
        </row>
        <row r="11">
          <cell r="A11" t="str">
            <v>VEČSTANOVANJSKI OBJEKT</v>
          </cell>
        </row>
        <row r="12">
          <cell r="A12" t="str">
            <v>HOTEL</v>
          </cell>
        </row>
        <row r="13">
          <cell r="A13" t="str">
            <v>INDUSTRIJSKI OBJEKT</v>
          </cell>
        </row>
        <row r="17">
          <cell r="A17" t="str">
            <v>I RAZRED</v>
          </cell>
        </row>
        <row r="18">
          <cell r="A18" t="str">
            <v>I-II RAZRED</v>
          </cell>
        </row>
        <row r="19">
          <cell r="A19" t="str">
            <v>II-III RAZRED</v>
          </cell>
        </row>
        <row r="20">
          <cell r="A20" t="str">
            <v>III RAZRED</v>
          </cell>
        </row>
        <row r="23">
          <cell r="A23" t="str">
            <v>I RAZRED</v>
          </cell>
        </row>
        <row r="24">
          <cell r="A24" t="str">
            <v>I-II RAZRED</v>
          </cell>
        </row>
        <row r="25">
          <cell r="A25" t="str">
            <v>II-III RAZRED</v>
          </cell>
        </row>
        <row r="26">
          <cell r="A26" t="str">
            <v>III-IV RAZRED</v>
          </cell>
        </row>
        <row r="27">
          <cell r="A27" t="str">
            <v>IV-V RAZRED</v>
          </cell>
        </row>
        <row r="28">
          <cell r="A28" t="str">
            <v>V RAZRED</v>
          </cell>
        </row>
        <row r="50">
          <cell r="A50" t="str">
            <v xml:space="preserve">adrenalinski park </v>
          </cell>
        </row>
        <row r="51">
          <cell r="A51" t="str">
            <v xml:space="preserve">golf igrišče </v>
          </cell>
        </row>
        <row r="52">
          <cell r="A52" t="str">
            <v xml:space="preserve">igrišče z raznovrstnim programom </v>
          </cell>
        </row>
        <row r="53">
          <cell r="A53" t="str">
            <v xml:space="preserve">igrišče za igre z žogo </v>
          </cell>
        </row>
        <row r="54">
          <cell r="A54" t="str">
            <v xml:space="preserve">komercialni kompleks športnih igrišč in naprav </v>
          </cell>
        </row>
        <row r="55">
          <cell r="A55" t="str">
            <v xml:space="preserve">krajinska ureditev ob objektih </v>
          </cell>
        </row>
        <row r="56">
          <cell r="A56" t="str">
            <v xml:space="preserve">krajinska ureditev ob vodotokih, plaziščih </v>
          </cell>
        </row>
        <row r="57">
          <cell r="A57" t="str">
            <v xml:space="preserve">krajinska ureditev v mestih </v>
          </cell>
        </row>
        <row r="58">
          <cell r="A58" t="str">
            <v xml:space="preserve">ozelenitev brez posebne opreme </v>
          </cell>
        </row>
        <row r="59">
          <cell r="A59" t="str">
            <v xml:space="preserve">park </v>
          </cell>
        </row>
        <row r="60">
          <cell r="A60" t="str">
            <v xml:space="preserve">parkirišče </v>
          </cell>
        </row>
        <row r="61">
          <cell r="A61" t="str">
            <v xml:space="preserve">območje za pešce </v>
          </cell>
        </row>
        <row r="62">
          <cell r="A62" t="str">
            <v xml:space="preserve">pešpot, kolesarska pot </v>
          </cell>
        </row>
        <row r="63">
          <cell r="A63" t="str">
            <v xml:space="preserve">pokopališče </v>
          </cell>
        </row>
        <row r="64">
          <cell r="A64" t="str">
            <v xml:space="preserve">površina za taborjenje </v>
          </cell>
        </row>
        <row r="65">
          <cell r="A65" t="str">
            <v xml:space="preserve">rekreacijsko območje </v>
          </cell>
        </row>
        <row r="66">
          <cell r="A66" t="str">
            <v xml:space="preserve">smučišče in sankališče </v>
          </cell>
        </row>
        <row r="67">
          <cell r="A67" t="str">
            <v xml:space="preserve">spomeniški kompleks </v>
          </cell>
        </row>
        <row r="68">
          <cell r="A68" t="str">
            <v xml:space="preserve">športne naprave, igrišče, stadion in kopališče na prostem </v>
          </cell>
        </row>
        <row r="69">
          <cell r="A69" t="str">
            <v xml:space="preserve">športno igrišče </v>
          </cell>
        </row>
        <row r="70">
          <cell r="A70" t="str">
            <v xml:space="preserve">športno igrišče brez tehničnih ureditev </v>
          </cell>
        </row>
        <row r="71">
          <cell r="A71" t="str">
            <v xml:space="preserve">tematski park in vrt (botanični, živalski, arboretum ...) </v>
          </cell>
        </row>
        <row r="72">
          <cell r="A72" t="str">
            <v xml:space="preserve">trg </v>
          </cell>
        </row>
        <row r="73">
          <cell r="A73" t="str">
            <v xml:space="preserve">tržnica </v>
          </cell>
        </row>
        <row r="74">
          <cell r="A74" t="str">
            <v xml:space="preserve">vrt </v>
          </cell>
        </row>
        <row r="75">
          <cell r="A75" t="str">
            <v xml:space="preserve">zahtevnejša zaščita biotopov </v>
          </cell>
        </row>
        <row r="76">
          <cell r="A76" t="str">
            <v xml:space="preserve">zasaditev v odprti krajini, nasad, trata </v>
          </cell>
        </row>
        <row r="77">
          <cell r="A77" t="str">
            <v xml:space="preserve">zelene površine enostavne izvedbe okrog stavb in ob prometnicah </v>
          </cell>
        </row>
        <row r="78">
          <cell r="A78" t="str">
            <v xml:space="preserve">zunanji prostor ob večstanovanjskih objektih </v>
          </cell>
        </row>
        <row r="79">
          <cell r="A79" t="str">
            <v xml:space="preserve">zunanji prostor ostalih javnih objektov </v>
          </cell>
        </row>
        <row r="80">
          <cell r="A80" t="str">
            <v xml:space="preserve">zunanji prostor šol in vrtcev </v>
          </cell>
        </row>
        <row r="83">
          <cell r="A83" t="str">
            <v>NEZAHTEVNA OPREMA</v>
          </cell>
        </row>
        <row r="84">
          <cell r="A84" t="str">
            <v>ZAHTEVNA OPREMA</v>
          </cell>
        </row>
        <row r="85">
          <cell r="A85" t="str">
            <v>ZELO ZAHTEVNA OPREMA</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C000"/>
  </sheetPr>
  <dimension ref="A1:C68"/>
  <sheetViews>
    <sheetView showGridLines="0" workbookViewId="0">
      <selection activeCell="B7" sqref="B7"/>
    </sheetView>
  </sheetViews>
  <sheetFormatPr defaultRowHeight="12.75" x14ac:dyDescent="0.2"/>
  <cols>
    <col min="1" max="1" width="3.85546875" customWidth="1"/>
    <col min="2" max="2" width="77.85546875" customWidth="1"/>
  </cols>
  <sheetData>
    <row r="1" spans="2:3" x14ac:dyDescent="0.2">
      <c r="C1" s="303"/>
    </row>
    <row r="2" spans="2:3" ht="18" x14ac:dyDescent="0.25">
      <c r="B2" s="309" t="s">
        <v>276</v>
      </c>
    </row>
    <row r="3" spans="2:3" ht="15" x14ac:dyDescent="0.2">
      <c r="C3" s="304"/>
    </row>
    <row r="4" spans="2:3" ht="90" x14ac:dyDescent="0.2">
      <c r="B4" s="312" t="s">
        <v>325</v>
      </c>
    </row>
    <row r="5" spans="2:3" ht="15" x14ac:dyDescent="0.2">
      <c r="B5" s="312"/>
    </row>
    <row r="6" spans="2:3" ht="15" x14ac:dyDescent="0.2">
      <c r="B6" s="312" t="s">
        <v>354</v>
      </c>
    </row>
    <row r="7" spans="2:3" ht="15" x14ac:dyDescent="0.2">
      <c r="B7" s="312"/>
    </row>
    <row r="8" spans="2:3" ht="30" x14ac:dyDescent="0.2">
      <c r="B8" s="312" t="s">
        <v>353</v>
      </c>
    </row>
    <row r="9" spans="2:3" ht="15" x14ac:dyDescent="0.2">
      <c r="B9" s="312"/>
    </row>
    <row r="10" spans="2:3" ht="15" x14ac:dyDescent="0.2">
      <c r="B10" s="312"/>
    </row>
    <row r="11" spans="2:3" ht="15" x14ac:dyDescent="0.2">
      <c r="B11" s="311" t="s">
        <v>320</v>
      </c>
    </row>
    <row r="12" spans="2:3" ht="240" x14ac:dyDescent="0.2">
      <c r="B12" s="312" t="s">
        <v>326</v>
      </c>
    </row>
    <row r="13" spans="2:3" ht="15" x14ac:dyDescent="0.2">
      <c r="B13" s="312"/>
    </row>
    <row r="14" spans="2:3" ht="15" x14ac:dyDescent="0.2">
      <c r="B14" s="311" t="s">
        <v>301</v>
      </c>
    </row>
    <row r="15" spans="2:3" ht="120" x14ac:dyDescent="0.2">
      <c r="B15" s="312" t="s">
        <v>327</v>
      </c>
    </row>
    <row r="16" spans="2:3" ht="15" x14ac:dyDescent="0.2">
      <c r="B16" s="312"/>
    </row>
    <row r="17" spans="1:2" ht="15" x14ac:dyDescent="0.2">
      <c r="B17" s="311" t="s">
        <v>302</v>
      </c>
    </row>
    <row r="18" spans="1:2" ht="90" x14ac:dyDescent="0.2">
      <c r="B18" s="312" t="s">
        <v>328</v>
      </c>
    </row>
    <row r="19" spans="1:2" ht="15" x14ac:dyDescent="0.2">
      <c r="B19" s="311" t="s">
        <v>303</v>
      </c>
    </row>
    <row r="20" spans="1:2" ht="105" x14ac:dyDescent="0.2">
      <c r="B20" s="312" t="s">
        <v>329</v>
      </c>
    </row>
    <row r="21" spans="1:2" ht="15" x14ac:dyDescent="0.2">
      <c r="B21" s="311" t="s">
        <v>304</v>
      </c>
    </row>
    <row r="22" spans="1:2" ht="45" x14ac:dyDescent="0.2">
      <c r="B22" s="312" t="s">
        <v>330</v>
      </c>
    </row>
    <row r="23" spans="1:2" ht="15" x14ac:dyDescent="0.2">
      <c r="B23" s="312"/>
    </row>
    <row r="24" spans="1:2" ht="15" x14ac:dyDescent="0.2">
      <c r="B24" s="311" t="s">
        <v>305</v>
      </c>
    </row>
    <row r="25" spans="1:2" ht="135" x14ac:dyDescent="0.2">
      <c r="B25" s="312" t="s">
        <v>331</v>
      </c>
    </row>
    <row r="26" spans="1:2" ht="15" x14ac:dyDescent="0.2">
      <c r="B26" s="311" t="s">
        <v>306</v>
      </c>
    </row>
    <row r="27" spans="1:2" ht="60" x14ac:dyDescent="0.2">
      <c r="B27" s="313" t="s">
        <v>332</v>
      </c>
    </row>
    <row r="28" spans="1:2" ht="90" x14ac:dyDescent="0.2">
      <c r="B28" s="313" t="s">
        <v>313</v>
      </c>
    </row>
    <row r="29" spans="1:2" ht="45" x14ac:dyDescent="0.2">
      <c r="B29" s="313" t="s">
        <v>307</v>
      </c>
    </row>
    <row r="30" spans="1:2" ht="45" x14ac:dyDescent="0.2">
      <c r="B30" s="313" t="s">
        <v>308</v>
      </c>
    </row>
    <row r="31" spans="1:2" ht="45" x14ac:dyDescent="0.2">
      <c r="B31" s="313" t="s">
        <v>314</v>
      </c>
    </row>
    <row r="32" spans="1:2" ht="15" x14ac:dyDescent="0.2">
      <c r="A32" s="311" t="s">
        <v>269</v>
      </c>
      <c r="B32" s="311" t="s">
        <v>309</v>
      </c>
    </row>
    <row r="33" spans="2:2" ht="45" x14ac:dyDescent="0.2">
      <c r="B33" s="313" t="s">
        <v>310</v>
      </c>
    </row>
    <row r="34" spans="2:2" ht="15" x14ac:dyDescent="0.2">
      <c r="B34" s="313"/>
    </row>
    <row r="35" spans="2:2" s="311" customFormat="1" ht="15" x14ac:dyDescent="0.2">
      <c r="B35" s="311" t="s">
        <v>315</v>
      </c>
    </row>
    <row r="36" spans="2:2" ht="395.25" x14ac:dyDescent="0.2">
      <c r="B36" s="336" t="s">
        <v>316</v>
      </c>
    </row>
    <row r="37" spans="2:2" ht="15" x14ac:dyDescent="0.2">
      <c r="B37" s="312"/>
    </row>
    <row r="38" spans="2:2" s="311" customFormat="1" ht="15" x14ac:dyDescent="0.2">
      <c r="B38" s="311" t="s">
        <v>319</v>
      </c>
    </row>
    <row r="39" spans="2:2" s="20" customFormat="1" ht="32.25" x14ac:dyDescent="0.2">
      <c r="B39" s="302" t="s">
        <v>324</v>
      </c>
    </row>
    <row r="40" spans="2:2" s="20" customFormat="1" ht="11.25" x14ac:dyDescent="0.2">
      <c r="B40" s="302"/>
    </row>
    <row r="41" spans="2:2" s="20" customFormat="1" ht="11.25" x14ac:dyDescent="0.2">
      <c r="B41" s="305" t="s">
        <v>300</v>
      </c>
    </row>
    <row r="42" spans="2:2" s="20" customFormat="1" ht="32.25" x14ac:dyDescent="0.2">
      <c r="B42" s="302" t="s">
        <v>299</v>
      </c>
    </row>
    <row r="43" spans="2:2" s="20" customFormat="1" ht="11.25" x14ac:dyDescent="0.2">
      <c r="B43" s="302"/>
    </row>
    <row r="44" spans="2:2" s="20" customFormat="1" ht="11.25" x14ac:dyDescent="0.2">
      <c r="B44" s="305" t="s">
        <v>298</v>
      </c>
    </row>
    <row r="45" spans="2:2" s="20" customFormat="1" ht="21.75" x14ac:dyDescent="0.2">
      <c r="B45" s="302" t="s">
        <v>323</v>
      </c>
    </row>
    <row r="46" spans="2:2" ht="15" x14ac:dyDescent="0.2">
      <c r="B46" s="312"/>
    </row>
    <row r="47" spans="2:2" ht="15" x14ac:dyDescent="0.2">
      <c r="B47" s="312"/>
    </row>
    <row r="48" spans="2:2" ht="15" x14ac:dyDescent="0.2">
      <c r="B48" s="312" t="s">
        <v>334</v>
      </c>
    </row>
    <row r="49" spans="2:2" ht="15" x14ac:dyDescent="0.2">
      <c r="B49" s="312"/>
    </row>
    <row r="50" spans="2:2" ht="15" x14ac:dyDescent="0.2">
      <c r="B50" s="312"/>
    </row>
    <row r="51" spans="2:2" ht="15" x14ac:dyDescent="0.2">
      <c r="B51" s="312"/>
    </row>
    <row r="52" spans="2:2" ht="15" x14ac:dyDescent="0.2">
      <c r="B52" s="312"/>
    </row>
    <row r="53" spans="2:2" ht="15" x14ac:dyDescent="0.2">
      <c r="B53" s="312"/>
    </row>
    <row r="54" spans="2:2" ht="15" x14ac:dyDescent="0.2">
      <c r="B54" s="312"/>
    </row>
    <row r="55" spans="2:2" ht="15" x14ac:dyDescent="0.2">
      <c r="B55" s="312"/>
    </row>
    <row r="56" spans="2:2" ht="15" x14ac:dyDescent="0.2">
      <c r="B56" s="312"/>
    </row>
    <row r="57" spans="2:2" ht="15" x14ac:dyDescent="0.2">
      <c r="B57" s="312"/>
    </row>
    <row r="58" spans="2:2" ht="15" x14ac:dyDescent="0.2">
      <c r="B58" s="312"/>
    </row>
    <row r="59" spans="2:2" ht="15" x14ac:dyDescent="0.2">
      <c r="B59" s="312"/>
    </row>
    <row r="60" spans="2:2" ht="15" x14ac:dyDescent="0.2">
      <c r="B60" s="312"/>
    </row>
    <row r="61" spans="2:2" ht="15" x14ac:dyDescent="0.2">
      <c r="B61" s="312"/>
    </row>
    <row r="62" spans="2:2" ht="15" x14ac:dyDescent="0.2">
      <c r="B62" s="312"/>
    </row>
    <row r="63" spans="2:2" ht="15" x14ac:dyDescent="0.2">
      <c r="B63" s="312"/>
    </row>
    <row r="64" spans="2:2" ht="15" x14ac:dyDescent="0.2">
      <c r="B64" s="312"/>
    </row>
    <row r="65" spans="2:2" ht="15" x14ac:dyDescent="0.2">
      <c r="B65" s="312"/>
    </row>
    <row r="66" spans="2:2" ht="15" x14ac:dyDescent="0.2">
      <c r="B66" s="312"/>
    </row>
    <row r="67" spans="2:2" ht="15" x14ac:dyDescent="0.2">
      <c r="B67" s="312"/>
    </row>
    <row r="68" spans="2:2" ht="15" x14ac:dyDescent="0.2">
      <c r="B68" s="312"/>
    </row>
  </sheetData>
  <sheetProtection algorithmName="SHA-512" hashValue="SV92nvyF6Y+NJmOrlzvXYRUWR5nQ1iyJN5Ou8Y4kb0+9aAAqCBauhvtsTjjeg/XDDrpG9hbyQvv5kJMTQXgaTA==" saltValue="85TU327oSRCSpQtAVc0fNg==" spinCount="100000" sheet="1" objects="1" scenarios="1" formatColumns="0" format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C000"/>
  </sheetPr>
  <dimension ref="A2:B40"/>
  <sheetViews>
    <sheetView showGridLines="0" workbookViewId="0">
      <selection activeCell="B14" sqref="B14"/>
    </sheetView>
  </sheetViews>
  <sheetFormatPr defaultRowHeight="15" x14ac:dyDescent="0.2"/>
  <cols>
    <col min="1" max="1" width="4.7109375" style="307" customWidth="1"/>
    <col min="2" max="2" width="76.5703125" style="303" customWidth="1"/>
  </cols>
  <sheetData>
    <row r="2" spans="1:2" ht="18" x14ac:dyDescent="0.25">
      <c r="B2" s="310" t="s">
        <v>311</v>
      </c>
    </row>
    <row r="3" spans="1:2" x14ac:dyDescent="0.2">
      <c r="B3" s="304"/>
    </row>
    <row r="4" spans="1:2" ht="45" x14ac:dyDescent="0.2">
      <c r="B4" s="306" t="s">
        <v>277</v>
      </c>
    </row>
    <row r="5" spans="1:2" x14ac:dyDescent="0.2">
      <c r="B5" s="300"/>
    </row>
    <row r="6" spans="1:2" x14ac:dyDescent="0.2">
      <c r="A6" s="307" t="s">
        <v>109</v>
      </c>
      <c r="B6" s="314" t="s">
        <v>270</v>
      </c>
    </row>
    <row r="7" spans="1:2" x14ac:dyDescent="0.2">
      <c r="B7" s="308" t="s">
        <v>278</v>
      </c>
    </row>
    <row r="8" spans="1:2" ht="32.25" x14ac:dyDescent="0.2">
      <c r="B8" s="315" t="s">
        <v>312</v>
      </c>
    </row>
    <row r="9" spans="1:2" x14ac:dyDescent="0.2">
      <c r="B9" s="308"/>
    </row>
    <row r="10" spans="1:2" x14ac:dyDescent="0.2">
      <c r="A10" s="307" t="s">
        <v>111</v>
      </c>
      <c r="B10" s="314" t="s">
        <v>271</v>
      </c>
    </row>
    <row r="11" spans="1:2" x14ac:dyDescent="0.2">
      <c r="B11" s="308" t="s">
        <v>280</v>
      </c>
    </row>
    <row r="12" spans="1:2" x14ac:dyDescent="0.2">
      <c r="B12" s="308"/>
    </row>
    <row r="13" spans="1:2" x14ac:dyDescent="0.2">
      <c r="A13" s="307" t="s">
        <v>113</v>
      </c>
      <c r="B13" s="314" t="s">
        <v>279</v>
      </c>
    </row>
    <row r="14" spans="1:2" ht="17.25" x14ac:dyDescent="0.2">
      <c r="B14" s="308" t="s">
        <v>281</v>
      </c>
    </row>
    <row r="15" spans="1:2" ht="30" x14ac:dyDescent="0.2">
      <c r="B15" s="315" t="s">
        <v>282</v>
      </c>
    </row>
    <row r="16" spans="1:2" x14ac:dyDescent="0.2">
      <c r="B16" s="308"/>
    </row>
    <row r="17" spans="1:2" x14ac:dyDescent="0.2">
      <c r="A17" s="307" t="s">
        <v>267</v>
      </c>
      <c r="B17" s="314" t="s">
        <v>272</v>
      </c>
    </row>
    <row r="18" spans="1:2" ht="45" x14ac:dyDescent="0.2">
      <c r="B18" s="308" t="s">
        <v>283</v>
      </c>
    </row>
    <row r="19" spans="1:2" ht="30" x14ac:dyDescent="0.2">
      <c r="B19" s="315" t="s">
        <v>211</v>
      </c>
    </row>
    <row r="20" spans="1:2" x14ac:dyDescent="0.2">
      <c r="B20" s="308"/>
    </row>
    <row r="21" spans="1:2" x14ac:dyDescent="0.2">
      <c r="A21" s="307" t="s">
        <v>268</v>
      </c>
      <c r="B21" s="314" t="s">
        <v>273</v>
      </c>
    </row>
    <row r="22" spans="1:2" x14ac:dyDescent="0.2">
      <c r="B22" s="301" t="s">
        <v>288</v>
      </c>
    </row>
    <row r="23" spans="1:2" x14ac:dyDescent="0.2">
      <c r="B23" s="301" t="s">
        <v>287</v>
      </c>
    </row>
    <row r="24" spans="1:2" x14ac:dyDescent="0.2">
      <c r="B24" s="301" t="s">
        <v>284</v>
      </c>
    </row>
    <row r="25" spans="1:2" x14ac:dyDescent="0.2">
      <c r="B25" s="301" t="s">
        <v>285</v>
      </c>
    </row>
    <row r="26" spans="1:2" x14ac:dyDescent="0.2">
      <c r="B26" s="301" t="s">
        <v>286</v>
      </c>
    </row>
    <row r="27" spans="1:2" ht="30" x14ac:dyDescent="0.2">
      <c r="B27" s="315" t="s">
        <v>289</v>
      </c>
    </row>
    <row r="28" spans="1:2" x14ac:dyDescent="0.2">
      <c r="B28" s="308"/>
    </row>
    <row r="29" spans="1:2" x14ac:dyDescent="0.2">
      <c r="A29" s="307" t="s">
        <v>115</v>
      </c>
      <c r="B29" s="314" t="s">
        <v>274</v>
      </c>
    </row>
    <row r="30" spans="1:2" ht="45" x14ac:dyDescent="0.2">
      <c r="B30" s="308" t="s">
        <v>290</v>
      </c>
    </row>
    <row r="31" spans="1:2" x14ac:dyDescent="0.2">
      <c r="B31" s="315" t="s">
        <v>297</v>
      </c>
    </row>
    <row r="32" spans="1:2" x14ac:dyDescent="0.2">
      <c r="B32" s="308"/>
    </row>
    <row r="33" spans="1:2" x14ac:dyDescent="0.2">
      <c r="A33" s="307" t="s">
        <v>269</v>
      </c>
      <c r="B33" s="314" t="s">
        <v>291</v>
      </c>
    </row>
    <row r="34" spans="1:2" x14ac:dyDescent="0.2">
      <c r="B34" s="301" t="s">
        <v>292</v>
      </c>
    </row>
    <row r="35" spans="1:2" x14ac:dyDescent="0.2">
      <c r="B35" s="301" t="s">
        <v>293</v>
      </c>
    </row>
    <row r="36" spans="1:2" x14ac:dyDescent="0.2">
      <c r="B36" s="301" t="s">
        <v>294</v>
      </c>
    </row>
    <row r="37" spans="1:2" x14ac:dyDescent="0.2">
      <c r="B37" s="301" t="s">
        <v>295</v>
      </c>
    </row>
    <row r="38" spans="1:2" x14ac:dyDescent="0.2">
      <c r="B38" s="315" t="s">
        <v>296</v>
      </c>
    </row>
    <row r="39" spans="1:2" x14ac:dyDescent="0.2">
      <c r="B39" s="308"/>
    </row>
    <row r="40" spans="1:2" x14ac:dyDescent="0.2">
      <c r="A40" s="307" t="s">
        <v>117</v>
      </c>
      <c r="B40" s="314" t="s">
        <v>275</v>
      </c>
    </row>
  </sheetData>
  <sheetProtection algorithmName="SHA-512" hashValue="8qaDJ0aqYVs/JgxcwA+UO1b2yC2VM9mZmimICVeLZAFJD1qB+IFAozwrDkyPxQxTbObyy+bri5XDf4FjSSIZJg==" saltValue="ShsoxlHruD042tYLq9lqcA==" spinCount="100000" sheet="1" objects="1" scenarios="1" formatColumns="0" formatRow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pageSetUpPr fitToPage="1"/>
  </sheetPr>
  <dimension ref="A2:X90"/>
  <sheetViews>
    <sheetView showGridLines="0" tabSelected="1" zoomScale="80" zoomScaleNormal="80" workbookViewId="0">
      <selection activeCell="D3" sqref="D3"/>
    </sheetView>
  </sheetViews>
  <sheetFormatPr defaultColWidth="9.140625" defaultRowHeight="12.75" x14ac:dyDescent="0.2"/>
  <cols>
    <col min="1" max="1" width="20.7109375" style="34" customWidth="1"/>
    <col min="2" max="2" width="25.7109375" style="34" customWidth="1"/>
    <col min="3" max="3" width="14" style="34" customWidth="1"/>
    <col min="4" max="4" width="17.7109375" style="34" customWidth="1"/>
    <col min="5" max="12" width="14.28515625" style="34" customWidth="1"/>
    <col min="13" max="13" width="23.42578125" style="34" customWidth="1"/>
    <col min="14" max="14" width="3.7109375" style="34" customWidth="1"/>
    <col min="15" max="15" width="23.28515625" style="34" customWidth="1"/>
    <col min="16" max="16" width="25" style="34" customWidth="1"/>
    <col min="17" max="17" width="12" style="34" customWidth="1"/>
    <col min="18" max="18" width="13.7109375" style="34" customWidth="1"/>
    <col min="19" max="19" width="12" style="34" customWidth="1"/>
    <col min="20" max="16384" width="9.140625" style="34"/>
  </cols>
  <sheetData>
    <row r="2" spans="1:24" s="29" customFormat="1" ht="19.5" x14ac:dyDescent="0.25">
      <c r="C2" s="224" t="s">
        <v>233</v>
      </c>
      <c r="D2" s="225" t="s">
        <v>84</v>
      </c>
      <c r="H2" s="31"/>
    </row>
    <row r="3" spans="1:24" ht="114" customHeight="1" x14ac:dyDescent="0.25">
      <c r="A3" s="29"/>
      <c r="B3" s="29"/>
      <c r="C3" s="357" t="s">
        <v>356</v>
      </c>
      <c r="D3" s="412" t="s">
        <v>355</v>
      </c>
      <c r="E3" s="32"/>
      <c r="F3" s="32"/>
      <c r="G3" s="29"/>
      <c r="H3" s="31"/>
      <c r="I3" s="29"/>
      <c r="J3" s="29"/>
      <c r="K3" s="29"/>
      <c r="L3" s="29"/>
      <c r="M3" s="29"/>
      <c r="N3" s="33"/>
      <c r="O3" s="33"/>
    </row>
    <row r="4" spans="1:24" ht="15" customHeight="1" x14ac:dyDescent="0.25">
      <c r="A4" s="29"/>
      <c r="B4" s="29"/>
      <c r="C4" s="35" t="s">
        <v>21</v>
      </c>
      <c r="D4" s="36" t="s">
        <v>234</v>
      </c>
      <c r="E4" s="37"/>
      <c r="F4" s="37"/>
      <c r="G4" s="115" t="s">
        <v>224</v>
      </c>
      <c r="H4" s="117"/>
      <c r="I4" s="117"/>
      <c r="K4" s="126" t="s">
        <v>89</v>
      </c>
      <c r="L4" s="126"/>
      <c r="M4" s="29"/>
    </row>
    <row r="5" spans="1:24" ht="15" customHeight="1" x14ac:dyDescent="0.25">
      <c r="A5" s="29"/>
      <c r="B5" s="29"/>
      <c r="D5" s="38" t="s">
        <v>266</v>
      </c>
      <c r="E5" s="37"/>
      <c r="F5" s="37"/>
      <c r="G5" s="115" t="s">
        <v>4</v>
      </c>
      <c r="H5" s="118"/>
      <c r="I5" s="118"/>
      <c r="K5" s="126" t="s">
        <v>90</v>
      </c>
      <c r="L5" s="126"/>
      <c r="M5" s="39"/>
    </row>
    <row r="6" spans="1:24" ht="15" customHeight="1" x14ac:dyDescent="0.25">
      <c r="A6" s="29"/>
      <c r="B6" s="29"/>
      <c r="C6" s="35" t="s">
        <v>10</v>
      </c>
      <c r="D6" s="36" t="s">
        <v>235</v>
      </c>
      <c r="E6" s="37"/>
      <c r="F6" s="40"/>
      <c r="G6" s="116" t="s">
        <v>205</v>
      </c>
      <c r="H6" s="117"/>
      <c r="I6" s="117"/>
      <c r="K6" s="126" t="s">
        <v>89</v>
      </c>
      <c r="L6" s="126"/>
      <c r="M6" s="39"/>
    </row>
    <row r="7" spans="1:24" ht="15" customHeight="1" x14ac:dyDescent="0.25">
      <c r="A7" s="29"/>
      <c r="B7" s="29"/>
      <c r="C7" s="35" t="s">
        <v>8</v>
      </c>
      <c r="D7" s="36" t="s">
        <v>220</v>
      </c>
      <c r="E7" s="37"/>
      <c r="F7" s="37"/>
      <c r="G7" s="116" t="s">
        <v>238</v>
      </c>
      <c r="H7" s="117"/>
      <c r="I7" s="117"/>
      <c r="K7" s="126" t="s">
        <v>90</v>
      </c>
      <c r="L7" s="126"/>
      <c r="M7" s="39"/>
    </row>
    <row r="8" spans="1:24" ht="15" customHeight="1" x14ac:dyDescent="0.25">
      <c r="A8" s="29"/>
      <c r="B8" s="29"/>
      <c r="C8" s="41" t="s">
        <v>9</v>
      </c>
      <c r="D8" s="42">
        <v>43381</v>
      </c>
      <c r="E8" s="37"/>
      <c r="F8" s="37"/>
      <c r="G8" s="116" t="s">
        <v>252</v>
      </c>
      <c r="H8" s="117"/>
      <c r="I8" s="117"/>
      <c r="K8" s="126" t="s">
        <v>90</v>
      </c>
      <c r="L8" s="126"/>
      <c r="M8" s="39"/>
    </row>
    <row r="9" spans="1:24" ht="15" customHeight="1" x14ac:dyDescent="0.25">
      <c r="A9" s="29"/>
      <c r="B9" s="29"/>
      <c r="C9" s="29"/>
      <c r="D9" s="43"/>
      <c r="E9" s="43"/>
      <c r="F9" s="43"/>
      <c r="G9" s="29"/>
      <c r="H9" s="29"/>
      <c r="I9" s="29"/>
      <c r="J9" s="29"/>
      <c r="K9" s="29"/>
      <c r="L9" s="43"/>
      <c r="M9" s="29"/>
    </row>
    <row r="10" spans="1:24" s="29" customFormat="1" ht="15" customHeight="1" x14ac:dyDescent="0.25">
      <c r="A10" s="334" t="s">
        <v>14</v>
      </c>
      <c r="B10" s="138"/>
      <c r="C10" s="142"/>
      <c r="D10" s="143" t="s">
        <v>67</v>
      </c>
      <c r="E10" s="138"/>
      <c r="F10" s="144"/>
      <c r="G10" s="138" t="s">
        <v>253</v>
      </c>
      <c r="H10" s="138"/>
      <c r="I10" s="144"/>
      <c r="J10" s="138" t="s">
        <v>17</v>
      </c>
      <c r="K10" s="138"/>
      <c r="L10" s="144"/>
      <c r="M10" s="138" t="s">
        <v>6</v>
      </c>
      <c r="O10" s="138" t="s">
        <v>172</v>
      </c>
      <c r="P10" s="138"/>
      <c r="Q10" s="138"/>
      <c r="R10" s="138"/>
      <c r="S10" s="138"/>
    </row>
    <row r="11" spans="1:24" s="48" customFormat="1" ht="40.15" customHeight="1" x14ac:dyDescent="0.2">
      <c r="A11" s="123" t="s">
        <v>68</v>
      </c>
      <c r="B11" s="123"/>
      <c r="C11" s="124"/>
      <c r="D11" s="413" t="s">
        <v>53</v>
      </c>
      <c r="E11" s="414"/>
      <c r="F11" s="415"/>
      <c r="G11" s="413" t="s">
        <v>178</v>
      </c>
      <c r="H11" s="414"/>
      <c r="I11" s="415"/>
      <c r="J11" s="416" t="s">
        <v>72</v>
      </c>
      <c r="K11" s="417"/>
      <c r="L11" s="418"/>
      <c r="M11" s="47"/>
      <c r="O11" s="49"/>
      <c r="P11" s="184" t="s">
        <v>60</v>
      </c>
      <c r="Q11" s="187" t="s">
        <v>61</v>
      </c>
      <c r="R11" s="184" t="s">
        <v>62</v>
      </c>
      <c r="S11" s="184" t="s">
        <v>209</v>
      </c>
    </row>
    <row r="12" spans="1:24" ht="16.899999999999999" customHeight="1" x14ac:dyDescent="0.25">
      <c r="A12" s="21" t="s">
        <v>42</v>
      </c>
      <c r="B12" s="22"/>
      <c r="C12" s="52"/>
      <c r="D12" s="284">
        <v>70000</v>
      </c>
      <c r="E12" s="21" t="s">
        <v>15</v>
      </c>
      <c r="F12" s="282"/>
      <c r="G12" s="285">
        <v>0</v>
      </c>
      <c r="H12" s="21" t="s">
        <v>15</v>
      </c>
      <c r="I12" s="282"/>
      <c r="J12" s="285">
        <v>0</v>
      </c>
      <c r="K12" s="21" t="s">
        <v>15</v>
      </c>
      <c r="L12" s="283"/>
      <c r="M12" s="53"/>
      <c r="O12" s="54" t="s">
        <v>0</v>
      </c>
      <c r="P12" s="185" t="s">
        <v>85</v>
      </c>
      <c r="Q12" s="56">
        <f>D23</f>
        <v>70000000</v>
      </c>
      <c r="R12" s="54">
        <f>ROUND(IF(Q12&lt;=50000,PODATKI!C$90,IF(AND(Q12&gt;50000,Q12&lt;=100000),FORECAST(Q12,PODATKI!C90:C91,PODATKI!A90:A91), IF(AND(Q12&gt;100000,Q12&lt;=200000),FORECAST(Q12,PODATKI!C91:C92,PODATKI!A91:A92), IF(AND(Q12&gt;200000,Q12&lt;=300000),FORECAST(Q12,PODATKI!C92:C93,PODATKI!A92:A93), IF(AND(Q12&gt;300000,Q12&lt;=500000),FORECAST(Q12,PODATKI!C93:C94,PODATKI!A93:A94), IF(AND(Q12&gt;500000,Q12&lt;=5000000),FORECAST(Q12,PODATKI!C94:C95,PODATKI!A94:A95),IF(AND(Q12&gt;5000000,Q12&lt;50000000),FORECAST(Q12,PODATKI!C95:C96,PODATKI!A95:A96),PODATKI!C96)))))))*VLOOKUP(D16,PODATKI!$A$18:$B$21,2,FALSE), 2)</f>
        <v>1.2</v>
      </c>
      <c r="S12" s="57">
        <f t="shared" ref="S12" si="0">Q12*R12/100</f>
        <v>840000</v>
      </c>
    </row>
    <row r="13" spans="1:24" ht="16.899999999999999" customHeight="1" x14ac:dyDescent="0.25">
      <c r="A13" s="21" t="s">
        <v>204</v>
      </c>
      <c r="B13" s="22"/>
      <c r="C13" s="52"/>
      <c r="D13" s="25" t="str">
        <f>VLOOKUP($D$11,PODATKI!$A$3:$F$14,2,FALSE)</f>
        <v>600-800</v>
      </c>
      <c r="E13" s="26" t="s">
        <v>46</v>
      </c>
      <c r="F13" s="23"/>
      <c r="G13" s="27" t="str">
        <f>VLOOKUP($G$11,PODATKI!$A$51:$B$81,2,FALSE)</f>
        <v>60–120</v>
      </c>
      <c r="H13" s="26" t="s">
        <v>46</v>
      </c>
      <c r="I13" s="23"/>
      <c r="J13" s="27" t="str">
        <f>VLOOKUP($J$11,PODATKI!$A$84:$B$86,2,FALSE)</f>
        <v>100–200</v>
      </c>
      <c r="K13" s="26" t="s">
        <v>46</v>
      </c>
      <c r="L13" s="24"/>
      <c r="M13" s="53"/>
      <c r="O13" s="57" t="s">
        <v>11</v>
      </c>
      <c r="P13" s="186" t="s">
        <v>22</v>
      </c>
      <c r="Q13" s="56">
        <f>59%*D24+10%*(D25+D26+D27)</f>
        <v>31696000</v>
      </c>
      <c r="R13" s="54">
        <f>ROUND(IF(Q13&lt;=50000,PODATKI!D$90,IF(AND(Q13&gt;50000,Q13&lt;=100000),(100000-Q13)*(PODATKI!D$90-PODATKI!D$91)/(100000-50000)+PODATKI!D$91, IF(AND(Q13&gt;100000,Q13&lt;=200000),(200000-Q13)*(PODATKI!D$91-PODATKI!D$92)/(200000-100000)+PODATKI!D$92, IF(AND(Q13&gt;200000,Q13&lt;=300000),(300000-Q13)*(PODATKI!D$92-PODATKI!D$93)/(300000-200000)+PODATKI!D$93, IF(AND(Q13&gt;300000,Q13&lt;=500000),(500000-Q13)*(PODATKI!D$93-PODATKI!D$94)/(500000-300000)+PODATKI!D$94, IF(AND(Q13&gt;500000,Q13&lt;=5000000),(5000000-Q13)*(PODATKI!D$94-PODATKI!D$95)/(5000000-500000)+PODATKI!D$95,IF(AND(Q13&gt;5000000,Q13&lt;50000000),(50000000-Q13)*(PODATKI!D$95-PODATKI!D$96)/(50000000-5000000)+PODATKI!D$96,PODATKI!D$96)))))))*VLOOKUP(D17,PODATKI!$A$24:$B$29,2,FALSE), 2)</f>
        <v>0.72</v>
      </c>
      <c r="S13" s="57">
        <f t="shared" ref="S13:S15" si="1">Q13*R13/100</f>
        <v>228211.20000000001</v>
      </c>
    </row>
    <row r="14" spans="1:24" ht="16.899999999999999" customHeight="1" x14ac:dyDescent="0.25">
      <c r="A14" s="21" t="s">
        <v>45</v>
      </c>
      <c r="B14" s="22"/>
      <c r="C14" s="59"/>
      <c r="D14" s="286">
        <v>1000</v>
      </c>
      <c r="E14" s="21" t="s">
        <v>46</v>
      </c>
      <c r="F14" s="283"/>
      <c r="G14" s="285">
        <v>60</v>
      </c>
      <c r="H14" s="21" t="s">
        <v>46</v>
      </c>
      <c r="I14" s="21"/>
      <c r="J14" s="285">
        <v>200</v>
      </c>
      <c r="K14" s="21" t="s">
        <v>46</v>
      </c>
      <c r="L14" s="283"/>
      <c r="M14" s="53"/>
      <c r="O14" s="60" t="s">
        <v>12</v>
      </c>
      <c r="P14" s="185" t="s">
        <v>24</v>
      </c>
      <c r="Q14" s="56">
        <f>D25+50%*D27</f>
        <v>9800000.0000000019</v>
      </c>
      <c r="R14" s="54">
        <f>ROUND(IF(Q14&lt;=5000,PODATKI!K$90,IF(AND(Q14&gt;5000,Q14&lt;=10000),(10000-Q14)*(PODATKI!K$90-PODATKI!K$91)/(10000-5000)+PODATKI!K$91, IF(AND(Q14&gt;10000,Q14&lt;=20000),(20000-Q14)*(PODATKI!K$91-PODATKI!K$92)/(20000-10000)+PODATKI!K$92, IF(AND(Q14&gt;20000,Q14&lt;=30000),(30000-Q14)*(PODATKI!K$92-PODATKI!K$93)/(30000-20000)+PODATKI!K$93, IF(AND(Q14&gt;30000,Q14&lt;=50000),(50000-Q14)*(PODATKI!K$93-PODATKI!K$94)/(50000-30000)+PODATKI!K$94, IF(AND(Q14&gt;50000,Q14&lt;=500000),(500000-Q14)*(PODATKI!K$94-PODATKI!K$95)/(500000-50000)+PODATKI!K$95,IF(AND(Q14&gt;500000,Q14&lt;5000000),(5000000-Q14)*(PODATKI!K$95-PODATKI!K$96)/(5000000-500000)+PODATKI!K$96,PODATKI!K$96)))))))*VLOOKUP(D18,PODATKI!$A$18:$B$21,2,FALSE), 2)</f>
        <v>3</v>
      </c>
      <c r="S14" s="57">
        <f t="shared" si="1"/>
        <v>294000.00000000006</v>
      </c>
      <c r="T14" s="57"/>
      <c r="U14" s="61"/>
      <c r="V14" s="55"/>
      <c r="W14" s="61"/>
      <c r="X14" s="55"/>
    </row>
    <row r="15" spans="1:24" ht="16.899999999999999" customHeight="1" x14ac:dyDescent="0.25">
      <c r="A15" s="120" t="s">
        <v>44</v>
      </c>
      <c r="B15" s="62"/>
      <c r="C15" s="63"/>
      <c r="D15" s="64"/>
      <c r="E15" s="53"/>
      <c r="F15" s="63"/>
      <c r="G15" s="65"/>
      <c r="H15" s="66"/>
      <c r="I15" s="67"/>
      <c r="J15" s="65"/>
      <c r="K15" s="62"/>
      <c r="L15" s="68"/>
      <c r="M15" s="53"/>
      <c r="O15" s="60" t="s">
        <v>13</v>
      </c>
      <c r="P15" s="185" t="s">
        <v>25</v>
      </c>
      <c r="Q15" s="56">
        <f>D26+50%*D27</f>
        <v>9800000.0000000019</v>
      </c>
      <c r="R15" s="54">
        <f>ROUND(IF(Q15&lt;=5000,PODATKI!K$90,IF(AND(Q15&gt;5000,Q15&lt;=10000),(10000-Q15)*(PODATKI!K$90-PODATKI!K$91)/(10000-5000)+PODATKI!K$91, IF(AND(Q15&gt;10000,Q15&lt;=20000),(20000-Q15)*(PODATKI!K$91-PODATKI!K$92)/(20000-10000)+PODATKI!K$92, IF(AND(Q15&gt;20000,Q15&lt;=30000),(30000-Q15)*(PODATKI!K$92-PODATKI!K$93)/(30000-20000)+PODATKI!K$93, IF(AND(Q15&gt;30000,Q15&lt;=50000),(50000-Q15)*(PODATKI!K$93-PODATKI!K$94)/(50000-30000)+PODATKI!K$94, IF(AND(Q15&gt;50000,Q15&lt;=500000),(500000-Q15)*(PODATKI!K$94-PODATKI!K$95)/(500000-50000)+PODATKI!K$95,IF(AND(Q15&gt;500000,Q15&lt;5000000),(5000000-Q15)*(PODATKI!K$95-PODATKI!K$96)/(5000000-500000)+PODATKI!K$96,PODATKI!K$96)))))))*VLOOKUP(D19,PODATKI!$A$18:$B$21,2,FALSE), 2)</f>
        <v>3</v>
      </c>
      <c r="S15" s="57">
        <f t="shared" si="1"/>
        <v>294000.00000000006</v>
      </c>
      <c r="T15" s="57"/>
      <c r="U15" s="61"/>
      <c r="V15" s="55"/>
      <c r="W15" s="61"/>
      <c r="X15" s="55"/>
    </row>
    <row r="16" spans="1:24" ht="16.899999999999999" customHeight="1" x14ac:dyDescent="0.25">
      <c r="A16" s="121"/>
      <c r="B16" s="31" t="s">
        <v>0</v>
      </c>
      <c r="C16" s="69"/>
      <c r="D16" s="70" t="s">
        <v>57</v>
      </c>
      <c r="E16" s="71"/>
      <c r="F16" s="71"/>
      <c r="G16" s="70" t="s">
        <v>58</v>
      </c>
      <c r="H16" s="71"/>
      <c r="I16" s="71"/>
      <c r="J16" s="70" t="s">
        <v>92</v>
      </c>
      <c r="K16" s="71"/>
      <c r="L16" s="73"/>
      <c r="M16" s="53"/>
      <c r="O16" s="34" t="s">
        <v>27</v>
      </c>
      <c r="P16" s="186" t="s">
        <v>26</v>
      </c>
      <c r="Q16" s="56">
        <f>D23</f>
        <v>70000000</v>
      </c>
      <c r="R16" s="54">
        <f>ROUND(IF(Q16&lt;=50000,PODATKI!E$90,IF(AND(Q16&gt;50000,Q16&lt;=100000),(100000-Q16)*(PODATKI!E$90-PODATKI!E$91)/(100000-50000)+PODATKI!E$91, IF(AND(Q16&gt;100000,Q16&lt;=200000),(200000-Q16)*(PODATKI!E$91-PODATKI!E$92)/(200000-100000)+PODATKI!E$92, IF(AND(Q16&gt;200000,Q16&lt;=300000),(300000-Q16)*(PODATKI!E$92-PODATKI!E$93)/(300000-200000)+PODATKI!E$93, IF(AND(Q16&gt;300000,Q16&lt;=500000),(500000-Q16)*(PODATKI!E$93-PODATKI!E$94)/(500000-300000)+PODATKI!E$94, IF(AND(Q16&gt;500000,Q16&lt;=5000000),(5000000-Q16)*(PODATKI!E$94-PODATKI!E$95)/(5000000-500000)+PODATKI!E$95,IF(AND(Q16&gt;5000000,Q16&lt;50000000),(50000000-Q16)*(PODATKI!E$95-PODATKI!E$96)/(50000000-5000000)+PODATKI!E$96,PODATKI!E$96)))))))*VLOOKUP(D16,PODATKI!$A$18:$B$21,2,FALSE), 2)</f>
        <v>0.01</v>
      </c>
      <c r="S16" s="57">
        <f>Q16*R16/100</f>
        <v>7000</v>
      </c>
      <c r="T16" s="57"/>
      <c r="U16" s="61"/>
      <c r="V16" s="55"/>
      <c r="W16" s="61"/>
      <c r="X16" s="55"/>
    </row>
    <row r="17" spans="1:24" ht="16.899999999999999" customHeight="1" x14ac:dyDescent="0.25">
      <c r="A17" s="121"/>
      <c r="B17" s="31" t="s">
        <v>11</v>
      </c>
      <c r="C17" s="69"/>
      <c r="D17" s="74" t="s">
        <v>91</v>
      </c>
      <c r="E17" s="71"/>
      <c r="F17" s="71"/>
      <c r="G17" s="75"/>
      <c r="H17" s="66"/>
      <c r="I17" s="67"/>
      <c r="J17" s="65"/>
      <c r="K17" s="62"/>
      <c r="L17" s="76"/>
      <c r="M17" s="53"/>
      <c r="O17" s="77" t="s">
        <v>19</v>
      </c>
      <c r="P17" s="186" t="s">
        <v>28</v>
      </c>
      <c r="Q17" s="56">
        <f>D23</f>
        <v>70000000</v>
      </c>
      <c r="R17" s="54">
        <f>ROUND(IF(Q17&lt;=50000,PODATKI!F$90,IF(AND(Q17&gt;50000,Q17&lt;=100000),(100000-Q17)*(PODATKI!F$90-PODATKI!F$91)/(100000-50000)+PODATKI!F$91, IF(AND(Q17&gt;100000,Q17&lt;=200000),(200000-Q17)*(PODATKI!F$91-PODATKI!F$92)/(200000-100000)+PODATKI!F$92, IF(AND(Q17&gt;200000,Q17&lt;=300000),(300000-Q17)*(PODATKI!F$92-PODATKI!F$93)/(300000-200000)+PODATKI!F$93, IF(AND(Q17&gt;300000,Q17&lt;=500000),(500000-Q17)*(PODATKI!F$93-PODATKI!F$94)/(500000-300000)+PODATKI!F$94, IF(AND(Q17&gt;500000,Q17&lt;=5000000),(5000000-Q17)*(PODATKI!F$94-PODATKI!F$95)/(5000000-500000)+PODATKI!F$95,IF(AND(Q17&gt;5000000,Q17&lt;50000000),(50000000-Q17)*(PODATKI!F$95-PODATKI!F$96)/(50000000-5000000)+PODATKI!F$96,PODATKI!F$96)))))))*VLOOKUP(D16,PODATKI!$A$18:$B$21,2,FALSE), 2)</f>
        <v>0.01</v>
      </c>
      <c r="S17" s="57">
        <f>Q17*R17/100</f>
        <v>7000</v>
      </c>
      <c r="T17" s="57"/>
      <c r="U17" s="61"/>
      <c r="V17" s="55"/>
      <c r="W17" s="61"/>
      <c r="X17" s="55"/>
    </row>
    <row r="18" spans="1:24" ht="16.899999999999999" customHeight="1" x14ac:dyDescent="0.25">
      <c r="A18" s="121"/>
      <c r="B18" s="31" t="s">
        <v>12</v>
      </c>
      <c r="C18" s="69"/>
      <c r="D18" s="72" t="s">
        <v>91</v>
      </c>
      <c r="E18" s="71"/>
      <c r="F18" s="73"/>
      <c r="G18" s="53"/>
      <c r="H18" s="66"/>
      <c r="I18" s="67"/>
      <c r="J18" s="53"/>
      <c r="K18" s="62"/>
      <c r="L18" s="76"/>
      <c r="M18" s="53"/>
      <c r="O18" s="34" t="s">
        <v>18</v>
      </c>
      <c r="P18" s="186" t="s">
        <v>29</v>
      </c>
      <c r="Q18" s="56">
        <f>D23</f>
        <v>70000000</v>
      </c>
      <c r="R18" s="54">
        <f>ROUND(IF(Q18&lt;=50000,PODATKI!G$90,IF(AND(Q18&gt;50000,Q18&lt;=100000),(100000-Q18)*(PODATKI!G$90-PODATKI!G$91)/(100000-50000)+PODATKI!G$91, IF(AND(Q18&gt;100000,Q18&lt;=200000),(200000-Q18)*(PODATKI!G$91-PODATKI!G$92)/(200000-100000)+PODATKI!G$92, IF(AND(Q18&gt;200000,Q18&lt;=300000),(300000-Q18)*(PODATKI!G$92-PODATKI!G$93)/(300000-200000)+PODATKI!G$93, IF(AND(Q18&gt;300000,Q18&lt;=500000),(500000-Q18)*(PODATKI!G$93-PODATKI!G$94)/(500000-300000)+PODATKI!G$94, IF(AND(Q18&gt;500000,Q18&lt;=5000000),(5000000-Q18)*(PODATKI!G$94-PODATKI!G$95)/(5000000-500000)+PODATKI!G$95,IF(AND(Q18&gt;5000000,Q18&lt;50000000),(50000000-Q18)*(PODATKI!G$95-PODATKI!G$96)/(50000000-5000000)+PODATKI!G$96,PODATKI!G$96)))))))*VLOOKUP(D16,PODATKI!$A$18:$B$21,2,FALSE), 2)</f>
        <v>0.02</v>
      </c>
      <c r="S18" s="57">
        <f>Q18*R18/100</f>
        <v>14000</v>
      </c>
      <c r="T18" s="57"/>
      <c r="U18" s="78"/>
    </row>
    <row r="19" spans="1:24" ht="16.899999999999999" customHeight="1" x14ac:dyDescent="0.25">
      <c r="A19" s="121"/>
      <c r="B19" s="31" t="s">
        <v>13</v>
      </c>
      <c r="C19" s="69"/>
      <c r="D19" s="72" t="s">
        <v>91</v>
      </c>
      <c r="E19" s="71"/>
      <c r="F19" s="73"/>
      <c r="G19" s="53"/>
      <c r="H19" s="66"/>
      <c r="I19" s="67"/>
      <c r="J19" s="53"/>
      <c r="K19" s="62"/>
      <c r="L19" s="76"/>
      <c r="M19" s="53"/>
      <c r="O19" s="34" t="str">
        <f>PODATKI!A43</f>
        <v>DOKUMENTACIJA ZA DOVOLJEVANJE</v>
      </c>
      <c r="P19" s="185" t="s">
        <v>347</v>
      </c>
      <c r="Q19" s="56">
        <f>D23</f>
        <v>70000000</v>
      </c>
      <c r="R19" s="54">
        <f>ROUND(IF(Q19&lt;=50000,PODATKI!B$90,IF(AND(Q19&gt;50000,Q19&lt;=100000),(100000-Q19)*(PODATKI!B$90-PODATKI!B$91)/(100000-50000)+PODATKI!B$91, IF(AND(Q19&gt;100000,Q19&lt;=200000),(200000-Q19)*(PODATKI!B$91-PODATKI!B$92)/(200000-100000)+PODATKI!B$92, IF(AND(Q19&gt;200000,Q19&lt;=300000),(300000-Q19)*(PODATKI!B$92-PODATKI!B$93)/(300000-200000)+PODATKI!B$93, IF(AND(Q19&gt;300000,Q19&lt;=500000),(500000-Q19)*(PODATKI!B$93-PODATKI!B$94)/(500000-300000)+PODATKI!B$94, IF(AND(Q19&gt;500000,Q19&lt;=5000000),(5000000-Q19)*(PODATKI!B$94-PODATKI!B$95)/(5000000-500000)+PODATKI!B$95,IF(AND(Q19&gt;5000000,Q19&lt;50000000),(50000000-Q19)*(PODATKI!B$95-PODATKI!B$96)/(50000000-5000000)+PODATKI!B$96,PODATKI!B$96)))))))*VLOOKUP(D16,PODATKI!$A$18:$B$21,2,FALSE), 2)</f>
        <v>0.03</v>
      </c>
      <c r="S19" s="57">
        <f t="shared" ref="S19" si="2">Q19*R19/100</f>
        <v>21000</v>
      </c>
      <c r="T19" s="57"/>
      <c r="U19" s="78"/>
    </row>
    <row r="20" spans="1:24" ht="16.899999999999999" customHeight="1" x14ac:dyDescent="0.25">
      <c r="A20" s="121"/>
      <c r="B20" s="29" t="s">
        <v>27</v>
      </c>
      <c r="C20" s="69"/>
      <c r="D20" s="72" t="s">
        <v>91</v>
      </c>
      <c r="E20" s="71"/>
      <c r="F20" s="73"/>
      <c r="G20" s="53"/>
      <c r="H20" s="66"/>
      <c r="I20" s="67"/>
      <c r="J20" s="53"/>
      <c r="K20" s="62"/>
      <c r="L20" s="76"/>
      <c r="M20" s="53"/>
      <c r="O20" s="34" t="str">
        <f>PODATKI!A41</f>
        <v>UREDITEV POVRŠIN</v>
      </c>
      <c r="P20" s="186" t="s">
        <v>78</v>
      </c>
      <c r="Q20" s="56">
        <f>G23</f>
        <v>0</v>
      </c>
      <c r="R20" s="54">
        <f>ROUND(IF(Q20&lt;=50000,PODATKI!H$90,IF(AND(Q20&gt;50000,Q20&lt;=100000),(100000-Q20)*(PODATKI!H$90-PODATKI!H$91)/(100000-50000)+PODATKI!H$91, IF(AND(Q20&gt;100000,Q20&lt;=200000),(200000-Q20)*(PODATKI!H$91-PODATKI!H$92)/(200000-100000)+PODATKI!H$92, IF(AND(Q20&gt;200000,Q20&lt;=300000),(300000-Q20)*(PODATKI!H$92-PODATKI!H$93)/(300000-200000)+PODATKI!H$93, IF(AND(Q20&gt;300000,Q20&lt;=500000),(500000-Q20)*(PODATKI!H$93-PODATKI!H$94)/(500000-300000)+PODATKI!H$94, IF(AND(Q20&gt;500000,Q20&lt;=5000000),(5000000-Q20)*(PODATKI!H$94-PODATKI!H$95)/(5000000-500000)+PODATKI!H$95,IF(AND(Q20&gt;5000000,Q20&lt;50000000),(50000000-Q20)*(PODATKI!H$95-PODATKI!H$96)/(50000000-5000000)+PODATKI!H$96,PODATKI!H$96)))))))*VLOOKUP(G16,PODATKI!$A$18:$B$21,2,FALSE), 2)</f>
        <v>10</v>
      </c>
      <c r="S20" s="57">
        <f>Q20*R20/100</f>
        <v>0</v>
      </c>
      <c r="T20" s="57"/>
      <c r="U20" s="78"/>
      <c r="V20" s="79"/>
    </row>
    <row r="21" spans="1:24" ht="16.899999999999999" customHeight="1" x14ac:dyDescent="0.25">
      <c r="A21" s="121"/>
      <c r="B21" s="80" t="s">
        <v>19</v>
      </c>
      <c r="C21" s="69"/>
      <c r="D21" s="70" t="s">
        <v>57</v>
      </c>
      <c r="E21" s="71"/>
      <c r="F21" s="73"/>
      <c r="G21" s="53"/>
      <c r="H21" s="66"/>
      <c r="I21" s="67"/>
      <c r="J21" s="53"/>
      <c r="K21" s="62"/>
      <c r="L21" s="76"/>
      <c r="M21" s="53"/>
      <c r="O21" s="34" t="s">
        <v>17</v>
      </c>
      <c r="P21" s="186" t="s">
        <v>79</v>
      </c>
      <c r="Q21" s="56">
        <f>J23</f>
        <v>0</v>
      </c>
      <c r="R21" s="54">
        <f>ROUND(IF(Q21&lt;=50000,PODATKI!I$90,IF(AND(Q21&gt;50000,Q21&lt;=100000),(100000-Q21)*(PODATKI!I$90-PODATKI!I$91)/(100000-50000)+PODATKI!I$91, IF(AND(Q21&gt;100000,Q21&lt;=200000),(200000-Q21)*(PODATKI!I$91-PODATKI!I$92)/(200000-100000)+PODATKI!I$92, IF(AND(Q21&gt;200000,Q21&lt;=300000),(300000-Q21)*(PODATKI!I$92-PODATKI!I$93)/(300000-200000)+PODATKI!I$93, IF(AND(Q21&gt;300000,Q21&lt;=500000),(500000-Q21)*(PODATKI!I$93-PODATKI!I$94)/(500000-300000)+PODATKI!I$94, IF(AND(Q21&gt;500000,Q21&lt;=5000000),(5000000-Q21)*(PODATKI!I$94-PODATKI!I$95)/(5000000-500000)+PODATKI!I$95,IF(AND(Q21&gt;5000000,Q21&lt;50000000),(50000000-Q21)*(PODATKI!I$95-PODATKI!I$96)/(50000000-5000000)+PODATKI!I$96,PODATKI!I$96)))))))*VLOOKUP(J16,PODATKI!$A$18:$B$21,2,FALSE), 2)</f>
        <v>12.6</v>
      </c>
      <c r="S21" s="57">
        <f>Q21*R21/100</f>
        <v>0</v>
      </c>
      <c r="T21" s="57"/>
      <c r="U21" s="78"/>
    </row>
    <row r="22" spans="1:24" ht="16.899999999999999" customHeight="1" x14ac:dyDescent="0.25">
      <c r="A22" s="122"/>
      <c r="B22" s="81"/>
      <c r="C22" s="82"/>
      <c r="E22" s="83"/>
      <c r="F22" s="84"/>
      <c r="G22" s="83"/>
      <c r="H22" s="85"/>
      <c r="I22" s="86"/>
      <c r="J22" s="83"/>
      <c r="K22" s="87"/>
      <c r="L22" s="86"/>
      <c r="M22" s="294"/>
      <c r="O22" s="34" t="s">
        <v>65</v>
      </c>
      <c r="P22" s="58"/>
      <c r="Q22" s="56"/>
      <c r="R22" s="54"/>
      <c r="S22" s="57">
        <f>SUM(S12:S21)*0.1</f>
        <v>170521.12</v>
      </c>
      <c r="T22" s="57"/>
      <c r="U22" s="78"/>
    </row>
    <row r="23" spans="1:24" ht="16.899999999999999" customHeight="1" x14ac:dyDescent="0.25">
      <c r="A23" s="120" t="s">
        <v>43</v>
      </c>
      <c r="B23" s="62"/>
      <c r="C23" s="62"/>
      <c r="D23" s="287">
        <f>D12*D14</f>
        <v>70000000</v>
      </c>
      <c r="E23" s="288"/>
      <c r="F23" s="289"/>
      <c r="G23" s="290">
        <f>+G12*G14</f>
        <v>0</v>
      </c>
      <c r="H23" s="291"/>
      <c r="I23" s="292"/>
      <c r="J23" s="290">
        <f>+J12*J14</f>
        <v>0</v>
      </c>
      <c r="K23" s="293"/>
      <c r="L23" s="292"/>
      <c r="M23" s="298">
        <f>+D23+G23+J23</f>
        <v>70000000</v>
      </c>
      <c r="O23" s="34" t="s">
        <v>6</v>
      </c>
      <c r="P23" s="58"/>
      <c r="Q23" s="56"/>
      <c r="R23" s="54"/>
      <c r="S23" s="297">
        <f>SUM(S12:S22)</f>
        <v>1875732.3199999998</v>
      </c>
      <c r="T23" s="57"/>
      <c r="U23" s="78"/>
    </row>
    <row r="24" spans="1:24" ht="16.899999999999999" customHeight="1" x14ac:dyDescent="0.25">
      <c r="A24" s="121"/>
      <c r="B24" s="31" t="s">
        <v>32</v>
      </c>
      <c r="C24" s="89">
        <f>VLOOKUP($D$11,PODATKI!$A$3:$F$14,3,FALSE)</f>
        <v>0.72</v>
      </c>
      <c r="D24" s="80">
        <f>C24*$D$23</f>
        <v>50400000</v>
      </c>
      <c r="E24" s="53"/>
      <c r="F24" s="63"/>
      <c r="G24" s="53"/>
      <c r="H24" s="66"/>
      <c r="I24" s="67"/>
      <c r="J24" s="62"/>
      <c r="K24" s="53"/>
      <c r="L24" s="67"/>
      <c r="M24" s="53"/>
      <c r="T24" s="55"/>
      <c r="U24" s="78"/>
    </row>
    <row r="25" spans="1:24" ht="16.899999999999999" customHeight="1" x14ac:dyDescent="0.25">
      <c r="A25" s="121"/>
      <c r="B25" s="31" t="s">
        <v>33</v>
      </c>
      <c r="C25" s="89">
        <f>VLOOKUP($D$11,PODATKI!$A$3:$F$14,4,FALSE)</f>
        <v>0.14000000000000001</v>
      </c>
      <c r="D25" s="80">
        <f t="shared" ref="D25:D27" si="3">C25*$D$23</f>
        <v>9800000.0000000019</v>
      </c>
      <c r="E25" s="53"/>
      <c r="F25" s="63"/>
      <c r="G25" s="53"/>
      <c r="H25" s="66"/>
      <c r="I25" s="67"/>
      <c r="J25" s="62"/>
      <c r="K25" s="53"/>
      <c r="L25" s="67"/>
      <c r="M25" s="53"/>
      <c r="T25" s="55"/>
      <c r="U25" s="78"/>
    </row>
    <row r="26" spans="1:24" ht="16.899999999999999" customHeight="1" x14ac:dyDescent="0.25">
      <c r="A26" s="121"/>
      <c r="B26" s="31" t="s">
        <v>34</v>
      </c>
      <c r="C26" s="89">
        <f>VLOOKUP($D$11,PODATKI!$A$3:$F$14,5,FALSE)</f>
        <v>0.14000000000000001</v>
      </c>
      <c r="D26" s="80">
        <f t="shared" si="3"/>
        <v>9800000.0000000019</v>
      </c>
      <c r="E26" s="53"/>
      <c r="F26" s="63"/>
      <c r="G26" s="53"/>
      <c r="H26" s="66"/>
      <c r="I26" s="67"/>
      <c r="J26" s="62"/>
      <c r="K26" s="53"/>
      <c r="L26" s="67"/>
      <c r="M26" s="53"/>
      <c r="V26" s="55"/>
      <c r="W26" s="61"/>
      <c r="X26" s="55"/>
    </row>
    <row r="27" spans="1:24" ht="16.899999999999999" customHeight="1" x14ac:dyDescent="0.25">
      <c r="A27" s="122"/>
      <c r="B27" s="90" t="s">
        <v>35</v>
      </c>
      <c r="C27" s="91">
        <f>VLOOKUP($D$11,PODATKI!$A$3:$F$14,6,FALSE)</f>
        <v>0</v>
      </c>
      <c r="D27" s="92">
        <f t="shared" si="3"/>
        <v>0</v>
      </c>
      <c r="E27" s="83"/>
      <c r="F27" s="84"/>
      <c r="G27" s="83"/>
      <c r="H27" s="85"/>
      <c r="I27" s="86"/>
      <c r="J27" s="87"/>
      <c r="K27" s="83"/>
      <c r="L27" s="86"/>
      <c r="M27" s="83"/>
    </row>
    <row r="28" spans="1:24" ht="15" customHeight="1" x14ac:dyDescent="0.25">
      <c r="A28" s="29"/>
      <c r="B28" s="29"/>
      <c r="C28" s="29"/>
      <c r="D28" s="29"/>
      <c r="E28" s="29"/>
      <c r="F28" s="29"/>
      <c r="G28" s="29"/>
      <c r="H28" s="29"/>
      <c r="I28" s="29"/>
      <c r="J28" s="29"/>
      <c r="K28" s="29"/>
      <c r="L28" s="29"/>
      <c r="M28" s="29"/>
      <c r="N28" s="33"/>
      <c r="O28" s="33"/>
    </row>
    <row r="29" spans="1:24" s="29" customFormat="1" ht="18" x14ac:dyDescent="0.25">
      <c r="A29" s="138"/>
      <c r="B29" s="44"/>
      <c r="C29" s="46"/>
      <c r="D29" s="139" t="s">
        <v>221</v>
      </c>
      <c r="E29" s="140"/>
      <c r="F29" s="140" t="s">
        <v>222</v>
      </c>
      <c r="G29" s="140"/>
      <c r="H29" s="141" t="s">
        <v>3</v>
      </c>
      <c r="I29" s="45" t="s">
        <v>259</v>
      </c>
      <c r="J29" s="188" t="s">
        <v>4</v>
      </c>
      <c r="K29" s="202" t="s">
        <v>66</v>
      </c>
      <c r="L29" s="45" t="s">
        <v>6</v>
      </c>
      <c r="M29" s="140" t="s">
        <v>223</v>
      </c>
      <c r="N29" s="43"/>
      <c r="O29" s="138" t="s">
        <v>260</v>
      </c>
      <c r="P29" s="138"/>
      <c r="Q29" s="138"/>
      <c r="R29" s="138"/>
      <c r="S29" s="138"/>
    </row>
    <row r="30" spans="1:24" s="29" customFormat="1" ht="18" x14ac:dyDescent="0.25">
      <c r="A30" s="31" t="str">
        <f>PODATKI!A43</f>
        <v>DOKUMENTACIJA ZA DOVOLJEVANJE</v>
      </c>
      <c r="B30" s="31"/>
      <c r="C30" s="93"/>
      <c r="D30" s="137">
        <f>IF($K$4="DA",VLOOKUP($A30,$O$12:$S$22,5,FALSE)*VLOOKUP($A30,PODATKI!$A$33:$F$43,2,FALSE)*(100%+PODATKI!$O$13),0)</f>
        <v>7560</v>
      </c>
      <c r="E30" s="128"/>
      <c r="F30" s="128">
        <f>IF($K$4="DA",VLOOKUP($A30,$O$12:$S$22,5,FALSE)*VLOOKUP($A30,PODATKI!$A$33:$F$43,4,FALSE)*(100%+PODATKI!$O$12),0)</f>
        <v>12600</v>
      </c>
      <c r="G30" s="128"/>
      <c r="H30" s="128">
        <f>IF($K$4="DA",VLOOKUP($A30,$O$12:$S$22,5,FALSE)*VLOOKUP($A30,PODATKI!$A$33:$F$43,6,FALSE)*(100%+PODATKI!$O$12),0)</f>
        <v>5040</v>
      </c>
      <c r="I30" s="129">
        <f>SUM(D30:H30)</f>
        <v>25200</v>
      </c>
      <c r="J30" s="189" t="str">
        <f>IF($K$5="DA",VLOOKUP($A30,$O$12:$S$22,5,FALSE)*VLOOKUP($A30,PODATKI!$A$33:$H$43,8,FALSE)*(100%+PODATKI!$O$12),"0")</f>
        <v>0</v>
      </c>
      <c r="K30" s="203"/>
      <c r="L30" s="129">
        <f>SUM(I30:K30)</f>
        <v>25200</v>
      </c>
      <c r="M30" s="130">
        <f>+L30/$L$67*100</f>
        <v>1.0358213255170716</v>
      </c>
      <c r="N30" s="43"/>
      <c r="O30" s="295" t="s">
        <v>256</v>
      </c>
      <c r="P30" s="94" t="s">
        <v>237</v>
      </c>
      <c r="Q30" s="34"/>
      <c r="R30" s="34"/>
      <c r="S30" s="34"/>
    </row>
    <row r="31" spans="1:24" s="29" customFormat="1" ht="18" x14ac:dyDescent="0.25">
      <c r="A31" s="138" t="s">
        <v>349</v>
      </c>
      <c r="B31" s="44"/>
      <c r="C31" s="46"/>
      <c r="D31" s="139" t="s">
        <v>1</v>
      </c>
      <c r="E31" s="140"/>
      <c r="F31" s="140" t="s">
        <v>2</v>
      </c>
      <c r="G31" s="140"/>
      <c r="H31" s="141" t="s">
        <v>3</v>
      </c>
      <c r="I31" s="45" t="s">
        <v>259</v>
      </c>
      <c r="J31" s="188" t="s">
        <v>4</v>
      </c>
      <c r="K31" s="202" t="s">
        <v>66</v>
      </c>
      <c r="L31" s="45" t="s">
        <v>6</v>
      </c>
      <c r="M31" s="140" t="s">
        <v>223</v>
      </c>
      <c r="N31" s="43"/>
      <c r="O31" s="295" t="s">
        <v>257</v>
      </c>
      <c r="P31" s="94" t="s">
        <v>258</v>
      </c>
      <c r="Q31" s="34"/>
      <c r="R31" s="34"/>
      <c r="S31" s="34"/>
    </row>
    <row r="32" spans="1:24" s="29" customFormat="1" ht="18" x14ac:dyDescent="0.25">
      <c r="A32" s="90" t="s">
        <v>0</v>
      </c>
      <c r="B32" s="90"/>
      <c r="C32" s="150"/>
      <c r="D32" s="151">
        <f>VLOOKUP($A32,$O$12:$S$22,5,FALSE)*VLOOKUP($A32,PODATKI!$A$33:$F$42,2,FALSE)*(100%+PODATKI!$O$12)</f>
        <v>201600</v>
      </c>
      <c r="E32" s="92"/>
      <c r="F32" s="92">
        <f>VLOOKUP($A32,$O$12:$S$22,5,FALSE)*VLOOKUP($A32,PODATKI!$A$33:$F$42,4,FALSE)*(100%+PODATKI!$O$12)</f>
        <v>352800</v>
      </c>
      <c r="G32" s="92"/>
      <c r="H32" s="152">
        <f>VLOOKUP($A32,$O$12:$S$22,5,FALSE)*VLOOKUP($A32,PODATKI!$A$33:$F$42,6,FALSE)*(100%+PODATKI!$O$12)</f>
        <v>453600</v>
      </c>
      <c r="I32" s="153">
        <f>SUM(D32:H32)</f>
        <v>1008000</v>
      </c>
      <c r="J32" s="190">
        <f>IF($K$5="DA",VLOOKUP($A32,$O$12:$S$22,5,FALSE)*VLOOKUP($A32,PODATKI!$A$33:$H$42,8,FALSE)*(100%+PODATKI!$O$12),0)</f>
        <v>0</v>
      </c>
      <c r="K32" s="204">
        <f>I32*0.1</f>
        <v>100800</v>
      </c>
      <c r="L32" s="153">
        <f>SUM(I32:K32)</f>
        <v>1108800</v>
      </c>
      <c r="M32" s="154">
        <f>+L32/$L$67*100</f>
        <v>45.576138322751149</v>
      </c>
      <c r="N32" s="102"/>
      <c r="O32" s="295" t="s">
        <v>1</v>
      </c>
      <c r="P32" s="94" t="s">
        <v>226</v>
      </c>
      <c r="Q32" s="34"/>
      <c r="R32" s="34"/>
      <c r="S32" s="34"/>
    </row>
    <row r="33" spans="1:19" s="29" customFormat="1" ht="18" x14ac:dyDescent="0.25">
      <c r="A33" s="26" t="s">
        <v>11</v>
      </c>
      <c r="B33" s="26"/>
      <c r="C33" s="28"/>
      <c r="D33" s="155">
        <f>VLOOKUP($A33,$O$12:$S$22,5,FALSE)*VLOOKUP($A33,PODATKI!$A$33:$F$42,2,FALSE)*(100%+PODATKI!$O$12)</f>
        <v>54770.688000000002</v>
      </c>
      <c r="E33" s="156"/>
      <c r="F33" s="156">
        <f>VLOOKUP($A33,$O$12:$S$22,5,FALSE)*VLOOKUP($A33,PODATKI!$A$33:$F$42,4,FALSE)*(100%+PODATKI!$O$12)</f>
        <v>95848.703999999998</v>
      </c>
      <c r="G33" s="156"/>
      <c r="H33" s="157">
        <f>VLOOKUP($A33,$O$12:$S$22,5,FALSE)*VLOOKUP($A33,PODATKI!$A$33:$F$42,6,FALSE)*(100%+PODATKI!$O$12)</f>
        <v>123234.04800000001</v>
      </c>
      <c r="I33" s="158">
        <f>SUM(D33:H33)</f>
        <v>273853.44</v>
      </c>
      <c r="J33" s="191">
        <f>IF($K$5="DA",VLOOKUP($A33,$O$12:$S$22,5,FALSE)*VLOOKUP($A33,PODATKI!$A$33:$H$42,8,FALSE)*(100%+PODATKI!$O$12),0)</f>
        <v>0</v>
      </c>
      <c r="K33" s="205">
        <f>I33*0.1</f>
        <v>27385.344000000001</v>
      </c>
      <c r="L33" s="158">
        <f>SUM(I33:K33)</f>
        <v>301238.78399999999</v>
      </c>
      <c r="M33" s="159">
        <f>+L33/$L$67*100</f>
        <v>12.382125259525031</v>
      </c>
      <c r="N33" s="102"/>
      <c r="O33" s="295" t="s">
        <v>221</v>
      </c>
      <c r="P33" s="94" t="s">
        <v>227</v>
      </c>
      <c r="Q33" s="34"/>
      <c r="R33" s="34"/>
      <c r="S33" s="34"/>
    </row>
    <row r="34" spans="1:19" s="29" customFormat="1" ht="18" x14ac:dyDescent="0.25">
      <c r="A34" s="26" t="s">
        <v>12</v>
      </c>
      <c r="B34" s="26"/>
      <c r="C34" s="28"/>
      <c r="D34" s="155">
        <f>VLOOKUP($A34,$O$12:$S$22,5,FALSE)*VLOOKUP($A34,PODATKI!$A$33:$F$42,2,FALSE)*(100%+PODATKI!$O$12)</f>
        <v>70560.000000000015</v>
      </c>
      <c r="E34" s="156"/>
      <c r="F34" s="156">
        <f>VLOOKUP($A34,$O$12:$S$22,5,FALSE)*VLOOKUP($A34,PODATKI!$A$33:$F$42,4,FALSE)*(100%+PODATKI!$O$12)</f>
        <v>123480.00000000001</v>
      </c>
      <c r="G34" s="156"/>
      <c r="H34" s="157">
        <f>VLOOKUP($A34,$O$12:$S$22,5,FALSE)*VLOOKUP($A34,PODATKI!$A$33:$F$42,6,FALSE)*(100%+PODATKI!$O$12)</f>
        <v>158760.00000000003</v>
      </c>
      <c r="I34" s="158">
        <f>SUM(D34:H34)</f>
        <v>352800.00000000006</v>
      </c>
      <c r="J34" s="191">
        <f>IF($K$5="DA",VLOOKUP($A34,$O$12:$S$22,5,FALSE)*VLOOKUP($A34,PODATKI!$A$33:$H$42,8,FALSE)*(100%+PODATKI!$O$12),0)</f>
        <v>0</v>
      </c>
      <c r="K34" s="205">
        <f t="shared" ref="K34:K36" si="4">I34*0.1</f>
        <v>35280.000000000007</v>
      </c>
      <c r="L34" s="158">
        <f>SUM(I34:K34)</f>
        <v>388080.00000000006</v>
      </c>
      <c r="M34" s="159">
        <f>+L34/$L$67*100</f>
        <v>15.951648412962903</v>
      </c>
      <c r="N34" s="102"/>
      <c r="O34" s="295" t="s">
        <v>2</v>
      </c>
      <c r="P34" s="94" t="s">
        <v>228</v>
      </c>
      <c r="Q34" s="34"/>
      <c r="R34" s="34"/>
      <c r="S34" s="34"/>
    </row>
    <row r="35" spans="1:19" s="29" customFormat="1" ht="18" x14ac:dyDescent="0.25">
      <c r="A35" s="26" t="s">
        <v>13</v>
      </c>
      <c r="B35" s="26"/>
      <c r="C35" s="28"/>
      <c r="D35" s="155">
        <f>VLOOKUP($A35,$O$12:$S$22,5,FALSE)*VLOOKUP($A35,PODATKI!$A$33:$F$42,2,FALSE)*(100%+PODATKI!$O$12)</f>
        <v>70560.000000000015</v>
      </c>
      <c r="E35" s="156"/>
      <c r="F35" s="156">
        <f>VLOOKUP($A35,$O$12:$S$22,5,FALSE)*VLOOKUP($A35,PODATKI!$A$33:$F$42,4,FALSE)*(100%+PODATKI!$O$12)</f>
        <v>123480.00000000001</v>
      </c>
      <c r="G35" s="156"/>
      <c r="H35" s="157">
        <f>VLOOKUP($A35,$O$12:$S$22,5,FALSE)*VLOOKUP($A35,PODATKI!$A$33:$F$42,6,FALSE)*(100%+PODATKI!$O$12)</f>
        <v>158760.00000000003</v>
      </c>
      <c r="I35" s="158">
        <f>SUM(D35:H35)</f>
        <v>352800.00000000006</v>
      </c>
      <c r="J35" s="191">
        <f>IF($K$5="DA",VLOOKUP($A35,$O$12:$S$22,5,FALSE)*VLOOKUP($A35,PODATKI!$A$33:$H$42,8,FALSE)*(100%+PODATKI!$O$12),0)</f>
        <v>0</v>
      </c>
      <c r="K35" s="205">
        <f t="shared" si="4"/>
        <v>35280.000000000007</v>
      </c>
      <c r="L35" s="158">
        <f>SUM(I35:K35)</f>
        <v>388080.00000000006</v>
      </c>
      <c r="M35" s="159">
        <f>+L35/$L$67*100</f>
        <v>15.951648412962903</v>
      </c>
      <c r="N35" s="102"/>
      <c r="O35" s="295" t="s">
        <v>222</v>
      </c>
      <c r="P35" s="94" t="s">
        <v>229</v>
      </c>
      <c r="Q35" s="104"/>
      <c r="R35" s="104"/>
      <c r="S35" s="104"/>
    </row>
    <row r="36" spans="1:19" s="29" customFormat="1" ht="18" x14ac:dyDescent="0.25">
      <c r="A36" s="105" t="s">
        <v>18</v>
      </c>
      <c r="B36" s="95"/>
      <c r="C36" s="96"/>
      <c r="D36" s="97">
        <f>VLOOKUP($A36,$O$12:$S$22,5,FALSE)*VLOOKUP($A36,PODATKI!$A$33:$F$42,2,FALSE)*(100%+PODATKI!$O$12)</f>
        <v>3360</v>
      </c>
      <c r="E36" s="98"/>
      <c r="F36" s="98">
        <f>VLOOKUP($A36,$O$12:$S$22,5,FALSE)*VLOOKUP($A36,PODATKI!$A$33:$F$42,4,FALSE)*(100%+PODATKI!$O$12)</f>
        <v>5880</v>
      </c>
      <c r="G36" s="98"/>
      <c r="H36" s="99">
        <f>VLOOKUP($A36,$O$12:$S$22,5,FALSE)*VLOOKUP($A36,PODATKI!$A$33:$F$42,6,FALSE)*(100%+PODATKI!$O$12)</f>
        <v>7560</v>
      </c>
      <c r="I36" s="100">
        <f>SUM(D36:H36)</f>
        <v>16800</v>
      </c>
      <c r="J36" s="192">
        <f>IF($K$5="DA",VLOOKUP($A36,$O$12:$S$22,5,FALSE)*VLOOKUP($A36,PODATKI!$A$33:$H$42,8,FALSE)*(100%+PODATKI!$O$12),0)</f>
        <v>0</v>
      </c>
      <c r="K36" s="206">
        <f t="shared" si="4"/>
        <v>1680</v>
      </c>
      <c r="L36" s="100">
        <f>SUM(I36:K36)</f>
        <v>18480</v>
      </c>
      <c r="M36" s="101">
        <f>+L36/$L$67*100</f>
        <v>0.75960230537918572</v>
      </c>
      <c r="N36" s="43"/>
      <c r="O36" s="295" t="s">
        <v>3</v>
      </c>
      <c r="P36" s="94" t="s">
        <v>230</v>
      </c>
      <c r="Q36" s="34"/>
      <c r="R36" s="34"/>
      <c r="S36" s="34"/>
    </row>
    <row r="37" spans="1:19" s="39" customFormat="1" ht="18" x14ac:dyDescent="0.25">
      <c r="B37" s="120"/>
      <c r="C37" s="131" t="s">
        <v>6</v>
      </c>
      <c r="D37" s="128">
        <f>SUM(D32:D36)</f>
        <v>400850.68800000002</v>
      </c>
      <c r="E37" s="128"/>
      <c r="F37" s="128">
        <f t="shared" ref="F37:H37" si="5">SUM(F32:F36)</f>
        <v>701488.70400000003</v>
      </c>
      <c r="G37" s="128"/>
      <c r="H37" s="132">
        <f t="shared" si="5"/>
        <v>901914.04799999995</v>
      </c>
      <c r="I37" s="129">
        <f>SUM(I32:I36)</f>
        <v>2004253.44</v>
      </c>
      <c r="J37" s="189">
        <f>SUM(J32:J36)</f>
        <v>0</v>
      </c>
      <c r="K37" s="207">
        <f>SUM(K32:K36)</f>
        <v>200425.34400000001</v>
      </c>
      <c r="L37" s="129">
        <f>SUM(L32:L36)</f>
        <v>2204678.784</v>
      </c>
      <c r="M37" s="133">
        <f>SUM(M32:M36)</f>
        <v>90.621162713581185</v>
      </c>
      <c r="N37" s="31"/>
      <c r="O37" s="296" t="s">
        <v>4</v>
      </c>
      <c r="P37" s="94" t="s">
        <v>231</v>
      </c>
      <c r="Q37" s="34"/>
      <c r="R37" s="34"/>
      <c r="S37" s="34"/>
    </row>
    <row r="38" spans="1:19" s="29" customFormat="1" ht="18" x14ac:dyDescent="0.25">
      <c r="A38" s="138" t="s">
        <v>350</v>
      </c>
      <c r="B38" s="44"/>
      <c r="C38" s="46"/>
      <c r="D38" s="139" t="s">
        <v>1</v>
      </c>
      <c r="E38" s="140"/>
      <c r="F38" s="140" t="s">
        <v>2</v>
      </c>
      <c r="G38" s="140"/>
      <c r="H38" s="141" t="s">
        <v>3</v>
      </c>
      <c r="I38" s="45" t="s">
        <v>259</v>
      </c>
      <c r="J38" s="188" t="s">
        <v>4</v>
      </c>
      <c r="K38" s="202" t="s">
        <v>66</v>
      </c>
      <c r="L38" s="45" t="s">
        <v>6</v>
      </c>
      <c r="M38" s="140" t="s">
        <v>223</v>
      </c>
      <c r="N38" s="43"/>
      <c r="O38" s="296" t="s">
        <v>66</v>
      </c>
      <c r="P38" s="94" t="s">
        <v>232</v>
      </c>
    </row>
    <row r="39" spans="1:19" s="29" customFormat="1" ht="18" x14ac:dyDescent="0.25">
      <c r="A39" s="32" t="str">
        <f>PODATKI!A37</f>
        <v>TOPLOTNA ZAŠČITA</v>
      </c>
      <c r="B39" s="90"/>
      <c r="C39" s="150"/>
      <c r="D39" s="151">
        <f>VLOOKUP($A39,$O$12:$S$22,5,FALSE)*VLOOKUP($A39,PODATKI!$A$33:$F$42,2,FALSE)*(100%+PODATKI!$O$13)</f>
        <v>1680</v>
      </c>
      <c r="E39" s="92"/>
      <c r="F39" s="92">
        <f>VLOOKUP($A39,$O$12:$S$22,5,FALSE)*VLOOKUP($A39,PODATKI!$A$33:$F$42,4,FALSE)*(100%+PODATKI!$O$13)</f>
        <v>2940</v>
      </c>
      <c r="G39" s="92"/>
      <c r="H39" s="152">
        <f>VLOOKUP($A39,$O$12:$S$22,5,FALSE)*VLOOKUP($A39,PODATKI!$A$33:$F$42,6,FALSE)*(100%+PODATKI!$O$13)</f>
        <v>3780</v>
      </c>
      <c r="I39" s="153">
        <f>SUM(D39:H39)</f>
        <v>8400</v>
      </c>
      <c r="J39" s="190" t="str">
        <f>IF($K$5="DA",VLOOKUP($A39,$O$12:$S$22,5,FALSE)*VLOOKUP($A39,PODATKI!$A$33:$H$42,8,FALSE)*(100%+PODATKI!$O$13),"")</f>
        <v/>
      </c>
      <c r="K39" s="208"/>
      <c r="L39" s="153">
        <f>SUM(I39:K39)</f>
        <v>8400</v>
      </c>
      <c r="M39" s="154">
        <f>+L39/$L$67*100</f>
        <v>0.34527377517235719</v>
      </c>
      <c r="N39" s="31"/>
      <c r="O39" s="103"/>
      <c r="P39" s="94"/>
    </row>
    <row r="40" spans="1:19" s="29" customFormat="1" ht="18" x14ac:dyDescent="0.25">
      <c r="A40" s="98" t="s">
        <v>19</v>
      </c>
      <c r="B40" s="95"/>
      <c r="C40" s="96"/>
      <c r="D40" s="97">
        <f>VLOOKUP($A40,$O$12:$S$22,5,FALSE)*VLOOKUP($A40,PODATKI!$A$33:$F$42,2,FALSE)</f>
        <v>1400</v>
      </c>
      <c r="E40" s="98"/>
      <c r="F40" s="98">
        <f>VLOOKUP($A40,$O$12:$S$22,5,FALSE)*VLOOKUP($A40,PODATKI!$A$33:$F$42,4,FALSE)</f>
        <v>2450</v>
      </c>
      <c r="G40" s="98"/>
      <c r="H40" s="99">
        <f>VLOOKUP($A40,$O$12:$S$22,5,FALSE)*VLOOKUP($A40,PODATKI!$A$33:$F$42,6,FALSE)</f>
        <v>3150</v>
      </c>
      <c r="I40" s="100">
        <f>SUM(D40:H40)</f>
        <v>7000</v>
      </c>
      <c r="J40" s="192" t="str">
        <f>IF($K$5="DA",VLOOKUP($A40,$O$12:$S$22,5,FALSE)*VLOOKUP($A40,PODATKI!$A$33:$H$42,8,FALSE),"")</f>
        <v/>
      </c>
      <c r="K40" s="209"/>
      <c r="L40" s="100">
        <f>SUM(I40:K40)</f>
        <v>7000</v>
      </c>
      <c r="M40" s="101">
        <f>+L40/$L$67*100</f>
        <v>0.28772814597696433</v>
      </c>
      <c r="N40" s="31"/>
      <c r="O40" s="104"/>
      <c r="P40" s="34"/>
      <c r="Q40" s="34"/>
      <c r="R40" s="34"/>
      <c r="S40" s="34"/>
    </row>
    <row r="41" spans="1:19" s="39" customFormat="1" ht="18" x14ac:dyDescent="0.25">
      <c r="A41" s="134"/>
      <c r="B41" s="120"/>
      <c r="C41" s="131" t="s">
        <v>6</v>
      </c>
      <c r="D41" s="128">
        <f>SUM(D39:D40)</f>
        <v>3080</v>
      </c>
      <c r="E41" s="149"/>
      <c r="F41" s="128">
        <f>SUM(F39:F40)</f>
        <v>5390</v>
      </c>
      <c r="G41" s="149"/>
      <c r="H41" s="132">
        <f>SUM(H39:H40)</f>
        <v>6930</v>
      </c>
      <c r="I41" s="129">
        <f>SUM(I39:I40)</f>
        <v>15400</v>
      </c>
      <c r="J41" s="189">
        <f>SUM(J39:J40)</f>
        <v>0</v>
      </c>
      <c r="K41" s="203"/>
      <c r="L41" s="129">
        <f>SUM(L39:L40)</f>
        <v>15400</v>
      </c>
      <c r="M41" s="133">
        <f>SUM(M39:M40)</f>
        <v>0.63300192114932152</v>
      </c>
      <c r="N41" s="31"/>
      <c r="O41" s="104"/>
      <c r="P41" s="104"/>
      <c r="Q41" s="104"/>
      <c r="R41" s="104"/>
      <c r="S41" s="104"/>
    </row>
    <row r="42" spans="1:19" s="29" customFormat="1" ht="18" x14ac:dyDescent="0.25">
      <c r="A42" s="138" t="s">
        <v>351</v>
      </c>
      <c r="B42" s="44"/>
      <c r="C42" s="46"/>
      <c r="D42" s="139" t="s">
        <v>1</v>
      </c>
      <c r="E42" s="140"/>
      <c r="F42" s="140" t="s">
        <v>2</v>
      </c>
      <c r="G42" s="140"/>
      <c r="H42" s="141" t="s">
        <v>3</v>
      </c>
      <c r="I42" s="45" t="s">
        <v>259</v>
      </c>
      <c r="J42" s="188" t="s">
        <v>4</v>
      </c>
      <c r="K42" s="202" t="s">
        <v>66</v>
      </c>
      <c r="L42" s="45" t="s">
        <v>6</v>
      </c>
      <c r="M42" s="140" t="s">
        <v>223</v>
      </c>
      <c r="N42" s="43"/>
      <c r="O42" s="34"/>
      <c r="P42" s="34"/>
      <c r="Q42" s="34"/>
      <c r="R42" s="34"/>
      <c r="S42" s="34"/>
    </row>
    <row r="43" spans="1:19" s="29" customFormat="1" ht="18" x14ac:dyDescent="0.25">
      <c r="A43" s="161" t="s">
        <v>23</v>
      </c>
      <c r="B43" s="161"/>
      <c r="C43" s="162"/>
      <c r="D43" s="163"/>
      <c r="E43" s="163"/>
      <c r="F43" s="163"/>
      <c r="G43" s="163"/>
      <c r="H43" s="164"/>
      <c r="I43" s="153">
        <f t="shared" ref="I43:I50" si="6">SUM(D43:H43)</f>
        <v>0</v>
      </c>
      <c r="J43" s="193"/>
      <c r="K43" s="210"/>
      <c r="L43" s="153">
        <f t="shared" ref="L43:L50" si="7">SUM(I43:K43)</f>
        <v>0</v>
      </c>
      <c r="M43" s="154">
        <f t="shared" ref="M43:M50" si="8">+L43/$L$67*100</f>
        <v>0</v>
      </c>
      <c r="N43" s="31"/>
      <c r="O43" s="104"/>
      <c r="P43" s="34"/>
      <c r="Q43" s="34"/>
      <c r="R43" s="34"/>
      <c r="S43" s="34"/>
    </row>
    <row r="44" spans="1:19" s="29" customFormat="1" ht="18" x14ac:dyDescent="0.25">
      <c r="A44" s="71" t="s">
        <v>64</v>
      </c>
      <c r="B44" s="71"/>
      <c r="C44" s="165"/>
      <c r="D44" s="70"/>
      <c r="E44" s="71"/>
      <c r="F44" s="166"/>
      <c r="G44" s="166"/>
      <c r="H44" s="167"/>
      <c r="I44" s="158">
        <f t="shared" si="6"/>
        <v>0</v>
      </c>
      <c r="J44" s="194"/>
      <c r="K44" s="211"/>
      <c r="L44" s="158">
        <f t="shared" si="7"/>
        <v>0</v>
      </c>
      <c r="M44" s="159">
        <f t="shared" si="8"/>
        <v>0</v>
      </c>
      <c r="N44" s="31"/>
      <c r="O44" s="104"/>
      <c r="P44" s="34"/>
      <c r="Q44" s="34"/>
      <c r="R44" s="34"/>
      <c r="S44" s="34"/>
    </row>
    <row r="45" spans="1:19" s="29" customFormat="1" ht="18" x14ac:dyDescent="0.25">
      <c r="A45" s="71" t="s">
        <v>86</v>
      </c>
      <c r="B45" s="71"/>
      <c r="C45" s="165"/>
      <c r="D45" s="70"/>
      <c r="E45" s="71"/>
      <c r="F45" s="166"/>
      <c r="G45" s="166"/>
      <c r="H45" s="167"/>
      <c r="I45" s="158">
        <f t="shared" si="6"/>
        <v>0</v>
      </c>
      <c r="J45" s="194"/>
      <c r="K45" s="211"/>
      <c r="L45" s="158">
        <f t="shared" si="7"/>
        <v>0</v>
      </c>
      <c r="M45" s="159">
        <f t="shared" si="8"/>
        <v>0</v>
      </c>
      <c r="N45" s="31"/>
      <c r="O45" s="104"/>
      <c r="P45" s="34"/>
      <c r="Q45" s="34"/>
      <c r="R45" s="34"/>
      <c r="S45" s="34"/>
    </row>
    <row r="46" spans="1:19" s="29" customFormat="1" ht="18" x14ac:dyDescent="0.25">
      <c r="A46" s="71" t="s">
        <v>171</v>
      </c>
      <c r="B46" s="71"/>
      <c r="C46" s="73"/>
      <c r="D46" s="166"/>
      <c r="E46" s="166"/>
      <c r="F46" s="166"/>
      <c r="G46" s="166"/>
      <c r="H46" s="167"/>
      <c r="I46" s="158">
        <f t="shared" si="6"/>
        <v>0</v>
      </c>
      <c r="J46" s="195"/>
      <c r="K46" s="212"/>
      <c r="L46" s="158">
        <f t="shared" si="7"/>
        <v>0</v>
      </c>
      <c r="M46" s="159">
        <f t="shared" si="8"/>
        <v>0</v>
      </c>
      <c r="N46" s="31"/>
      <c r="O46" s="104"/>
      <c r="P46" s="34"/>
      <c r="Q46" s="34"/>
      <c r="R46" s="34"/>
      <c r="S46" s="34"/>
    </row>
    <row r="47" spans="1:19" s="29" customFormat="1" ht="18" x14ac:dyDescent="0.25">
      <c r="A47" s="71" t="s">
        <v>218</v>
      </c>
      <c r="B47" s="71"/>
      <c r="C47" s="73"/>
      <c r="D47" s="166"/>
      <c r="E47" s="166"/>
      <c r="F47" s="166"/>
      <c r="G47" s="166"/>
      <c r="H47" s="167"/>
      <c r="I47" s="158">
        <f t="shared" si="6"/>
        <v>0</v>
      </c>
      <c r="J47" s="195"/>
      <c r="K47" s="212"/>
      <c r="L47" s="158">
        <f t="shared" si="7"/>
        <v>0</v>
      </c>
      <c r="M47" s="159">
        <f t="shared" si="8"/>
        <v>0</v>
      </c>
      <c r="N47" s="31"/>
      <c r="O47" s="104"/>
      <c r="P47" s="34"/>
      <c r="Q47" s="34"/>
      <c r="R47" s="34"/>
      <c r="S47" s="34"/>
    </row>
    <row r="48" spans="1:19" s="29" customFormat="1" ht="18" x14ac:dyDescent="0.25">
      <c r="A48" s="71" t="s">
        <v>225</v>
      </c>
      <c r="B48" s="71"/>
      <c r="C48" s="73"/>
      <c r="D48" s="166"/>
      <c r="E48" s="166"/>
      <c r="F48" s="166"/>
      <c r="G48" s="166"/>
      <c r="H48" s="167"/>
      <c r="I48" s="158">
        <f t="shared" si="6"/>
        <v>0</v>
      </c>
      <c r="J48" s="195"/>
      <c r="K48" s="212"/>
      <c r="L48" s="158">
        <f t="shared" si="7"/>
        <v>0</v>
      </c>
      <c r="M48" s="159">
        <f t="shared" si="8"/>
        <v>0</v>
      </c>
      <c r="N48" s="31"/>
      <c r="O48" s="104"/>
      <c r="P48" s="34"/>
      <c r="Q48" s="34"/>
      <c r="R48" s="34"/>
      <c r="S48" s="34"/>
    </row>
    <row r="49" spans="1:19" s="29" customFormat="1" ht="18" x14ac:dyDescent="0.25">
      <c r="A49" s="71" t="s">
        <v>219</v>
      </c>
      <c r="B49" s="71"/>
      <c r="C49" s="73"/>
      <c r="D49" s="166"/>
      <c r="E49" s="166"/>
      <c r="F49" s="166"/>
      <c r="G49" s="166"/>
      <c r="H49" s="167"/>
      <c r="I49" s="158">
        <f t="shared" si="6"/>
        <v>0</v>
      </c>
      <c r="J49" s="195"/>
      <c r="K49" s="212"/>
      <c r="L49" s="158">
        <f t="shared" si="7"/>
        <v>0</v>
      </c>
      <c r="M49" s="159">
        <f t="shared" si="8"/>
        <v>0</v>
      </c>
      <c r="N49" s="31"/>
      <c r="O49" s="104"/>
      <c r="P49" s="34"/>
      <c r="Q49" s="34"/>
      <c r="R49" s="34"/>
      <c r="S49" s="34"/>
    </row>
    <row r="50" spans="1:19" s="29" customFormat="1" ht="18" x14ac:dyDescent="0.25">
      <c r="A50" s="145"/>
      <c r="B50" s="145"/>
      <c r="C50" s="146"/>
      <c r="D50" s="147"/>
      <c r="E50" s="147"/>
      <c r="F50" s="147"/>
      <c r="G50" s="147"/>
      <c r="H50" s="148"/>
      <c r="I50" s="100">
        <f t="shared" si="6"/>
        <v>0</v>
      </c>
      <c r="J50" s="196"/>
      <c r="K50" s="213"/>
      <c r="L50" s="100">
        <f t="shared" si="7"/>
        <v>0</v>
      </c>
      <c r="M50" s="101">
        <f t="shared" si="8"/>
        <v>0</v>
      </c>
      <c r="N50" s="31"/>
      <c r="O50" s="104"/>
      <c r="P50" s="34"/>
      <c r="Q50" s="34"/>
      <c r="R50" s="34"/>
      <c r="S50" s="34"/>
    </row>
    <row r="51" spans="1:19" s="39" customFormat="1" ht="18" x14ac:dyDescent="0.25">
      <c r="A51" s="134"/>
      <c r="B51" s="120"/>
      <c r="C51" s="136" t="s">
        <v>6</v>
      </c>
      <c r="D51" s="128">
        <f t="shared" ref="D51:J51" si="9">SUM(D43:D50)</f>
        <v>0</v>
      </c>
      <c r="E51" s="128"/>
      <c r="F51" s="128">
        <f t="shared" si="9"/>
        <v>0</v>
      </c>
      <c r="G51" s="128"/>
      <c r="H51" s="132">
        <f t="shared" si="9"/>
        <v>0</v>
      </c>
      <c r="I51" s="129">
        <f t="shared" si="9"/>
        <v>0</v>
      </c>
      <c r="J51" s="189">
        <f t="shared" si="9"/>
        <v>0</v>
      </c>
      <c r="K51" s="207">
        <f t="shared" ref="K51" si="10">SUM(K43:K50)</f>
        <v>0</v>
      </c>
      <c r="L51" s="129">
        <f>SUM(L43:L50)</f>
        <v>0</v>
      </c>
      <c r="M51" s="133">
        <f>SUM(M43:M50)</f>
        <v>0</v>
      </c>
      <c r="N51" s="31"/>
      <c r="O51" s="104"/>
      <c r="P51" s="104"/>
      <c r="Q51" s="104"/>
      <c r="R51" s="104"/>
      <c r="S51" s="104"/>
    </row>
    <row r="52" spans="1:19" s="29" customFormat="1" ht="18" x14ac:dyDescent="0.25">
      <c r="A52" s="138" t="s">
        <v>253</v>
      </c>
      <c r="B52" s="44"/>
      <c r="C52" s="46"/>
      <c r="D52" s="139" t="s">
        <v>1</v>
      </c>
      <c r="E52" s="140"/>
      <c r="F52" s="140" t="s">
        <v>2</v>
      </c>
      <c r="G52" s="140"/>
      <c r="H52" s="141" t="s">
        <v>3</v>
      </c>
      <c r="I52" s="45" t="s">
        <v>259</v>
      </c>
      <c r="J52" s="188" t="s">
        <v>4</v>
      </c>
      <c r="K52" s="202" t="s">
        <v>66</v>
      </c>
      <c r="L52" s="45" t="s">
        <v>6</v>
      </c>
      <c r="M52" s="140" t="s">
        <v>223</v>
      </c>
      <c r="N52" s="43"/>
      <c r="O52" s="34"/>
      <c r="P52" s="34"/>
      <c r="Q52" s="34"/>
      <c r="R52" s="34"/>
      <c r="S52" s="34"/>
    </row>
    <row r="53" spans="1:19" s="29" customFormat="1" ht="18" x14ac:dyDescent="0.25">
      <c r="A53" s="31" t="s">
        <v>253</v>
      </c>
      <c r="B53" s="31"/>
      <c r="C53" s="93"/>
      <c r="D53" s="137">
        <f>VLOOKUP($A53,$O$12:$S$22,5,FALSE)*VLOOKUP($A53,PODATKI!$A$33:$F$42,2,FALSE)</f>
        <v>0</v>
      </c>
      <c r="E53" s="128"/>
      <c r="F53" s="128">
        <f>VLOOKUP($A53,$O$12:$S$22,5,FALSE)*VLOOKUP($A53,PODATKI!$A$33:$F$42,4,FALSE)</f>
        <v>0</v>
      </c>
      <c r="G53" s="128"/>
      <c r="H53" s="132">
        <f>VLOOKUP($A53,$O$12:$S$22,5,FALSE)*VLOOKUP($A53,PODATKI!$A$33:$F$42,6,FALSE)</f>
        <v>0</v>
      </c>
      <c r="I53" s="129">
        <f>SUM(D53:H53)</f>
        <v>0</v>
      </c>
      <c r="J53" s="189" t="str">
        <f>IF($K$5="DA",VLOOKUP($A53,$O$12:$S$22,5,FALSE)*VLOOKUP($A53,PODATKI!$A$33:$H$42,8,FALSE),"0")</f>
        <v>0</v>
      </c>
      <c r="K53" s="207">
        <f>I53*0.1</f>
        <v>0</v>
      </c>
      <c r="L53" s="129">
        <f>SUM(I53:K53)</f>
        <v>0</v>
      </c>
      <c r="M53" s="130">
        <f>+L53/$L$67*100</f>
        <v>0</v>
      </c>
      <c r="N53" s="43"/>
    </row>
    <row r="54" spans="1:19" s="29" customFormat="1" ht="18" x14ac:dyDescent="0.25">
      <c r="A54" s="138" t="s">
        <v>17</v>
      </c>
      <c r="B54" s="44"/>
      <c r="C54" s="46"/>
      <c r="D54" s="139" t="s">
        <v>1</v>
      </c>
      <c r="E54" s="140"/>
      <c r="F54" s="140" t="s">
        <v>2</v>
      </c>
      <c r="G54" s="140"/>
      <c r="H54" s="141" t="s">
        <v>3</v>
      </c>
      <c r="I54" s="45" t="s">
        <v>259</v>
      </c>
      <c r="J54" s="188" t="s">
        <v>4</v>
      </c>
      <c r="K54" s="202" t="s">
        <v>66</v>
      </c>
      <c r="L54" s="45" t="s">
        <v>6</v>
      </c>
      <c r="M54" s="140" t="s">
        <v>223</v>
      </c>
      <c r="N54" s="43"/>
    </row>
    <row r="55" spans="1:19" s="29" customFormat="1" ht="18" x14ac:dyDescent="0.25">
      <c r="A55" s="31" t="s">
        <v>17</v>
      </c>
      <c r="B55" s="31"/>
      <c r="C55" s="31"/>
      <c r="D55" s="128">
        <f>VLOOKUP($A55,$O$12:$S$22,5,FALSE)*VLOOKUP($A55,PODATKI!$A$33:$F$42,2,FALSE)</f>
        <v>0</v>
      </c>
      <c r="E55" s="128"/>
      <c r="F55" s="128">
        <f>VLOOKUP($A55,$O$12:$S$22,5,FALSE)*VLOOKUP($A55,PODATKI!$A$33:$F$42,4,FALSE)</f>
        <v>0</v>
      </c>
      <c r="G55" s="128"/>
      <c r="H55" s="132">
        <f>VLOOKUP($A55,$O$12:$S$22,5,FALSE)*VLOOKUP($A55,PODATKI!$A$33:$F$42,6,FALSE)</f>
        <v>0</v>
      </c>
      <c r="I55" s="128">
        <f>SUM(D55:H55)</f>
        <v>0</v>
      </c>
      <c r="J55" s="299"/>
      <c r="K55" s="207">
        <f>I55*0.1</f>
        <v>0</v>
      </c>
      <c r="L55" s="128">
        <f>SUM(I55:K55)</f>
        <v>0</v>
      </c>
      <c r="M55" s="130">
        <f>+L55/$L$67*100</f>
        <v>0</v>
      </c>
      <c r="N55" s="43"/>
    </row>
    <row r="56" spans="1:19" s="29" customFormat="1" ht="18" x14ac:dyDescent="0.25">
      <c r="A56" s="138" t="s">
        <v>20</v>
      </c>
      <c r="B56" s="44"/>
      <c r="C56" s="46"/>
      <c r="D56" s="139"/>
      <c r="E56" s="140"/>
      <c r="F56" s="140"/>
      <c r="G56" s="140"/>
      <c r="H56" s="141"/>
      <c r="I56" s="45" t="s">
        <v>259</v>
      </c>
      <c r="J56" s="188" t="s">
        <v>4</v>
      </c>
      <c r="K56" s="202" t="s">
        <v>66</v>
      </c>
      <c r="L56" s="45" t="s">
        <v>6</v>
      </c>
      <c r="M56" s="140" t="s">
        <v>223</v>
      </c>
      <c r="N56" s="43"/>
    </row>
    <row r="57" spans="1:19" s="29" customFormat="1" ht="18" x14ac:dyDescent="0.25">
      <c r="A57" s="32"/>
      <c r="B57" s="90"/>
      <c r="C57" s="168" t="s">
        <v>15</v>
      </c>
      <c r="D57" s="92"/>
      <c r="E57" s="92"/>
      <c r="F57" s="92"/>
      <c r="G57" s="92"/>
      <c r="H57" s="152"/>
      <c r="I57" s="153"/>
      <c r="J57" s="190"/>
      <c r="K57" s="204"/>
      <c r="L57" s="153"/>
      <c r="M57" s="154"/>
      <c r="N57" s="31"/>
      <c r="O57" s="39"/>
    </row>
    <row r="58" spans="1:19" s="29" customFormat="1" ht="18" x14ac:dyDescent="0.25">
      <c r="A58" s="169" t="s">
        <v>63</v>
      </c>
      <c r="B58" s="160"/>
      <c r="C58" s="170">
        <v>0</v>
      </c>
      <c r="D58" s="171"/>
      <c r="E58" s="171"/>
      <c r="F58" s="172"/>
      <c r="G58" s="172"/>
      <c r="H58" s="173"/>
      <c r="I58" s="158">
        <f>VLOOKUP(A58,PODATKI!A47:B48,2,FALSE)*C58</f>
        <v>0</v>
      </c>
      <c r="J58" s="197"/>
      <c r="K58" s="214"/>
      <c r="L58" s="158">
        <f>SUM(I58:K58)</f>
        <v>0</v>
      </c>
      <c r="M58" s="159">
        <f>+L58/$L$67*100</f>
        <v>0</v>
      </c>
      <c r="N58" s="31"/>
      <c r="O58" s="39"/>
    </row>
    <row r="59" spans="1:19" s="29" customFormat="1" ht="18" x14ac:dyDescent="0.25">
      <c r="A59" s="71"/>
      <c r="B59" s="71"/>
      <c r="C59" s="73"/>
      <c r="D59" s="166"/>
      <c r="E59" s="166"/>
      <c r="F59" s="166"/>
      <c r="G59" s="166"/>
      <c r="H59" s="167"/>
      <c r="I59" s="158">
        <f>SUM(D59:H59)</f>
        <v>0</v>
      </c>
      <c r="J59" s="198"/>
      <c r="K59" s="215"/>
      <c r="L59" s="158">
        <f>SUM(I59:K59)</f>
        <v>0</v>
      </c>
      <c r="M59" s="159">
        <f>+L59/$L$67*100</f>
        <v>0</v>
      </c>
      <c r="N59" s="31"/>
      <c r="O59" s="39"/>
    </row>
    <row r="60" spans="1:19" s="29" customFormat="1" ht="18" x14ac:dyDescent="0.25">
      <c r="A60" s="71"/>
      <c r="B60" s="71"/>
      <c r="C60" s="73"/>
      <c r="D60" s="166"/>
      <c r="E60" s="166"/>
      <c r="F60" s="166"/>
      <c r="G60" s="166"/>
      <c r="H60" s="167"/>
      <c r="I60" s="158">
        <f>SUM(D60:H60)</f>
        <v>0</v>
      </c>
      <c r="J60" s="198"/>
      <c r="K60" s="215"/>
      <c r="L60" s="158">
        <f>SUM(I60:K60)</f>
        <v>0</v>
      </c>
      <c r="M60" s="159">
        <f>+L60/$L$67*100</f>
        <v>0</v>
      </c>
      <c r="N60" s="31"/>
      <c r="O60" s="39"/>
    </row>
    <row r="61" spans="1:19" s="29" customFormat="1" ht="18" x14ac:dyDescent="0.25">
      <c r="A61" s="145"/>
      <c r="B61" s="145"/>
      <c r="C61" s="146"/>
      <c r="D61" s="147"/>
      <c r="E61" s="147"/>
      <c r="F61" s="147"/>
      <c r="G61" s="147"/>
      <c r="H61" s="148"/>
      <c r="I61" s="100">
        <f>SUM(D61:H61)</f>
        <v>0</v>
      </c>
      <c r="J61" s="199"/>
      <c r="K61" s="216"/>
      <c r="L61" s="100">
        <f>SUM(I61:K61)</f>
        <v>0</v>
      </c>
      <c r="M61" s="101">
        <f>+L61/$L$67*100</f>
        <v>0</v>
      </c>
      <c r="N61" s="31"/>
      <c r="O61" s="39"/>
    </row>
    <row r="62" spans="1:19" s="39" customFormat="1" ht="18" x14ac:dyDescent="0.25">
      <c r="A62" s="120"/>
      <c r="B62" s="62"/>
      <c r="C62" s="136" t="s">
        <v>6</v>
      </c>
      <c r="D62" s="128">
        <f>SUM(D58:D61)</f>
        <v>0</v>
      </c>
      <c r="E62" s="128"/>
      <c r="F62" s="128">
        <f>SUM(F58:F61)</f>
        <v>0</v>
      </c>
      <c r="G62" s="128"/>
      <c r="H62" s="132">
        <f>SUM(H58:H61)</f>
        <v>0</v>
      </c>
      <c r="I62" s="129">
        <f>SUM(I58:I61)</f>
        <v>0</v>
      </c>
      <c r="J62" s="189">
        <f>SUM(J58:J61)</f>
        <v>0</v>
      </c>
      <c r="K62" s="207">
        <f>SUM(K58:K61)</f>
        <v>0</v>
      </c>
      <c r="L62" s="129">
        <f>SUM(I62:K62)</f>
        <v>0</v>
      </c>
      <c r="M62" s="133">
        <f>SUM(M58:M61)</f>
        <v>0</v>
      </c>
      <c r="N62" s="31"/>
    </row>
    <row r="63" spans="1:19" s="29" customFormat="1" ht="18" x14ac:dyDescent="0.25">
      <c r="A63" s="138" t="s">
        <v>352</v>
      </c>
      <c r="B63" s="44"/>
      <c r="C63" s="46"/>
      <c r="D63" s="139" t="s">
        <v>1</v>
      </c>
      <c r="E63" s="140"/>
      <c r="F63" s="140" t="s">
        <v>2</v>
      </c>
      <c r="G63" s="140"/>
      <c r="H63" s="141" t="s">
        <v>3</v>
      </c>
      <c r="I63" s="45" t="s">
        <v>259</v>
      </c>
      <c r="J63" s="188" t="s">
        <v>4</v>
      </c>
      <c r="K63" s="202" t="s">
        <v>66</v>
      </c>
      <c r="L63" s="45" t="s">
        <v>6</v>
      </c>
      <c r="M63" s="140" t="s">
        <v>223</v>
      </c>
      <c r="N63" s="43"/>
    </row>
    <row r="64" spans="1:19" s="39" customFormat="1" ht="18" x14ac:dyDescent="0.25">
      <c r="A64" s="31"/>
      <c r="B64" s="62"/>
      <c r="C64" s="62"/>
      <c r="D64" s="128">
        <f>+D37+D41+D51+D30+D53+D55+D62</f>
        <v>411490.68800000002</v>
      </c>
      <c r="E64" s="128"/>
      <c r="F64" s="128">
        <f>+F37+F41+F51+F30+F53+F55+F62</f>
        <v>719478.70400000003</v>
      </c>
      <c r="G64" s="128"/>
      <c r="H64" s="128">
        <f>+H37+H41+H51+H30+H53+H55+H62</f>
        <v>913884.04799999995</v>
      </c>
      <c r="I64" s="129">
        <f>+I37+I41+I51+I30+I53+I55+I62</f>
        <v>2044853.44</v>
      </c>
      <c r="J64" s="128">
        <f>+J37+J41+J51+J30+J53+J55+J62</f>
        <v>0</v>
      </c>
      <c r="K64" s="128">
        <f>+K37+K41+K51+K30+K53+K55+K62</f>
        <v>200425.34400000001</v>
      </c>
      <c r="L64" s="128">
        <f>+L37+L41+L51+L30+L53+L55+L62</f>
        <v>2245278.784</v>
      </c>
      <c r="M64" s="130">
        <f>+M30+M37+M41+M51+M53+M55+M62</f>
        <v>92.289985960247577</v>
      </c>
      <c r="N64" s="31"/>
    </row>
    <row r="65" spans="1:15" s="29" customFormat="1" ht="18" x14ac:dyDescent="0.25">
      <c r="A65" s="138" t="s">
        <v>65</v>
      </c>
      <c r="B65" s="44"/>
      <c r="C65" s="46"/>
      <c r="D65" s="139" t="s">
        <v>1</v>
      </c>
      <c r="E65" s="140"/>
      <c r="F65" s="140" t="s">
        <v>2</v>
      </c>
      <c r="G65" s="140"/>
      <c r="H65" s="141" t="s">
        <v>3</v>
      </c>
      <c r="I65" s="45" t="s">
        <v>259</v>
      </c>
      <c r="J65" s="188" t="s">
        <v>4</v>
      </c>
      <c r="K65" s="202" t="s">
        <v>66</v>
      </c>
      <c r="L65" s="45" t="s">
        <v>6</v>
      </c>
      <c r="M65" s="140" t="s">
        <v>223</v>
      </c>
      <c r="N65" s="43"/>
    </row>
    <row r="66" spans="1:15" s="29" customFormat="1" ht="18" x14ac:dyDescent="0.25">
      <c r="A66" s="95" t="s">
        <v>65</v>
      </c>
      <c r="B66" s="106"/>
      <c r="C66" s="107"/>
      <c r="D66" s="127">
        <f>VLOOKUP($A66,$O$12:$S$22,5,FALSE)*VLOOKUP($A66,PODATKI!$A$33:$F$42,2,FALSE)</f>
        <v>34104.224000000002</v>
      </c>
      <c r="E66" s="135"/>
      <c r="F66" s="135">
        <f>VLOOKUP($A66,$O$12:$S$22,5,FALSE)*VLOOKUP($A66,PODATKI!$A$33:$F$42,4,FALSE)</f>
        <v>59682.391999999993</v>
      </c>
      <c r="G66" s="135"/>
      <c r="H66" s="174">
        <f>VLOOKUP($A66,$O$12:$S$22,5,FALSE)*VLOOKUP($A66,PODATKI!$A$33:$F$42,6,FALSE)</f>
        <v>76734.504000000001</v>
      </c>
      <c r="I66" s="175">
        <f>SUM(D66:H66)</f>
        <v>170521.12</v>
      </c>
      <c r="J66" s="200">
        <f>VLOOKUP($A66,$O$12:$S$22,5,FALSE)*VLOOKUP($A66,PODATKI!$A$33:$H$42,8,FALSE)</f>
        <v>17052.112000000001</v>
      </c>
      <c r="K66" s="217"/>
      <c r="L66" s="175">
        <f>SUM(I66:K66)</f>
        <v>187573.23199999999</v>
      </c>
      <c r="M66" s="176">
        <f>+L66/$L$67*100</f>
        <v>7.7100140397524273</v>
      </c>
      <c r="N66" s="43"/>
    </row>
    <row r="67" spans="1:15" s="29" customFormat="1" ht="19.5" x14ac:dyDescent="0.25">
      <c r="A67" s="177" t="s">
        <v>7</v>
      </c>
      <c r="B67" s="177"/>
      <c r="C67" s="178"/>
      <c r="D67" s="179">
        <f t="shared" ref="D67:K67" si="11">+D64+D66</f>
        <v>445594.91200000001</v>
      </c>
      <c r="E67" s="180"/>
      <c r="F67" s="180">
        <f>+F64+F66</f>
        <v>779161.09600000002</v>
      </c>
      <c r="G67" s="180"/>
      <c r="H67" s="181">
        <f>+H64+H66</f>
        <v>990618.55199999991</v>
      </c>
      <c r="I67" s="182">
        <f>+I64+I66</f>
        <v>2215374.56</v>
      </c>
      <c r="J67" s="201">
        <f>+J64+J66</f>
        <v>17052.112000000001</v>
      </c>
      <c r="K67" s="218">
        <f t="shared" si="11"/>
        <v>200425.34400000001</v>
      </c>
      <c r="L67" s="182">
        <f>SUM(I67:K67)</f>
        <v>2432852.0160000003</v>
      </c>
      <c r="M67" s="183">
        <f>SUM(M64:M66)</f>
        <v>100</v>
      </c>
      <c r="N67" s="43"/>
    </row>
    <row r="68" spans="1:15" x14ac:dyDescent="0.2">
      <c r="A68" s="104" t="s">
        <v>101</v>
      </c>
      <c r="B68" s="104"/>
      <c r="C68" s="60"/>
      <c r="D68" s="108">
        <f>+(D67/$L$67)*100</f>
        <v>18.315742555218367</v>
      </c>
      <c r="E68" s="108"/>
      <c r="F68" s="108">
        <f>+(F67/$L$67)*100</f>
        <v>32.026653938494213</v>
      </c>
      <c r="G68" s="108"/>
      <c r="H68" s="108">
        <f>+(H67/$L$67)*100</f>
        <v>40.718405619620711</v>
      </c>
      <c r="I68" s="108">
        <f>+(I67/$L$67)*100</f>
        <v>91.060802113333295</v>
      </c>
      <c r="J68" s="108">
        <f>+(J67/$L$67)*100</f>
        <v>0.70091036725022071</v>
      </c>
      <c r="K68" s="108">
        <f t="shared" ref="K68:L68" si="12">+(K67/$L$67)*100</f>
        <v>8.2382875194164704</v>
      </c>
      <c r="L68" s="108">
        <f t="shared" si="12"/>
        <v>100</v>
      </c>
      <c r="M68" s="109"/>
    </row>
    <row r="69" spans="1:15" x14ac:dyDescent="0.2">
      <c r="A69" s="34" t="s">
        <v>88</v>
      </c>
      <c r="I69" s="110">
        <f>I67/$M$23</f>
        <v>3.1648208000000004E-2</v>
      </c>
      <c r="J69" s="54"/>
      <c r="K69" s="54"/>
      <c r="L69" s="110">
        <f>L67/$M$23</f>
        <v>3.4755028800000004E-2</v>
      </c>
      <c r="M69" s="111"/>
    </row>
    <row r="70" spans="1:15" x14ac:dyDescent="0.2">
      <c r="I70" s="110"/>
      <c r="J70" s="54"/>
      <c r="K70" s="54"/>
      <c r="L70" s="110"/>
      <c r="M70" s="111"/>
    </row>
    <row r="71" spans="1:15" ht="18" x14ac:dyDescent="0.25">
      <c r="A71" s="280" t="s">
        <v>261</v>
      </c>
      <c r="B71" s="95"/>
      <c r="C71" s="95"/>
      <c r="D71" s="135"/>
      <c r="E71" s="135"/>
      <c r="F71" s="135"/>
      <c r="G71" s="135"/>
      <c r="H71" s="128"/>
      <c r="I71" s="128"/>
      <c r="J71" s="128"/>
      <c r="K71" s="128"/>
      <c r="L71" s="128" t="str">
        <f>IF(J11="da",S26*PODATKI!O13,"")</f>
        <v/>
      </c>
      <c r="M71" s="130"/>
    </row>
    <row r="72" spans="1:15" ht="18" x14ac:dyDescent="0.25">
      <c r="A72" s="339" t="s">
        <v>262</v>
      </c>
      <c r="B72" s="339"/>
      <c r="C72" s="340"/>
      <c r="D72" s="340"/>
      <c r="E72" s="341"/>
      <c r="F72" s="342">
        <v>0</v>
      </c>
      <c r="G72" s="343">
        <f>+$S$23*F72</f>
        <v>0</v>
      </c>
      <c r="H72" s="128"/>
      <c r="I72" s="128"/>
      <c r="J72" s="128"/>
      <c r="K72" s="128"/>
      <c r="L72" s="128"/>
      <c r="M72" s="130"/>
    </row>
    <row r="73" spans="1:15" ht="18" x14ac:dyDescent="0.25">
      <c r="A73" s="26" t="s">
        <v>263</v>
      </c>
      <c r="B73" s="26"/>
      <c r="C73" s="276"/>
      <c r="D73" s="276"/>
      <c r="E73" s="277"/>
      <c r="F73" s="344">
        <v>0</v>
      </c>
      <c r="G73" s="345">
        <f t="shared" ref="G73:G75" si="13">+$S$23*F73</f>
        <v>0</v>
      </c>
      <c r="H73" s="128"/>
      <c r="I73" s="128"/>
      <c r="J73" s="128"/>
      <c r="K73" s="128"/>
      <c r="L73" s="128"/>
      <c r="M73" s="130"/>
    </row>
    <row r="74" spans="1:15" ht="18" x14ac:dyDescent="0.25">
      <c r="A74" s="26" t="s">
        <v>264</v>
      </c>
      <c r="B74" s="26"/>
      <c r="C74" s="276"/>
      <c r="D74" s="276"/>
      <c r="E74" s="277"/>
      <c r="F74" s="344">
        <v>0</v>
      </c>
      <c r="G74" s="345">
        <f t="shared" si="13"/>
        <v>0</v>
      </c>
      <c r="H74" s="128"/>
      <c r="I74" s="128"/>
      <c r="J74" s="128"/>
      <c r="K74" s="128"/>
      <c r="L74" s="128"/>
      <c r="M74" s="130"/>
    </row>
    <row r="75" spans="1:15" ht="18" x14ac:dyDescent="0.25">
      <c r="A75" s="26" t="s">
        <v>265</v>
      </c>
      <c r="B75" s="26"/>
      <c r="C75" s="276"/>
      <c r="D75" s="276"/>
      <c r="E75" s="277"/>
      <c r="F75" s="344">
        <v>0</v>
      </c>
      <c r="G75" s="345">
        <f t="shared" si="13"/>
        <v>0</v>
      </c>
      <c r="H75" s="128"/>
      <c r="I75" s="128"/>
      <c r="J75" s="128"/>
      <c r="K75" s="128"/>
      <c r="L75" s="128"/>
      <c r="M75" s="130"/>
    </row>
    <row r="76" spans="1:15" ht="18" x14ac:dyDescent="0.25">
      <c r="A76" s="347"/>
      <c r="B76" s="347"/>
      <c r="C76" s="348"/>
      <c r="D76" s="348"/>
      <c r="E76" s="349"/>
      <c r="F76" s="350"/>
      <c r="G76" s="350"/>
      <c r="H76" s="128"/>
      <c r="I76" s="128"/>
      <c r="J76" s="128"/>
      <c r="K76" s="128"/>
      <c r="L76" s="128"/>
      <c r="M76" s="130"/>
    </row>
    <row r="77" spans="1:15" ht="19.5" x14ac:dyDescent="0.25">
      <c r="A77" s="351" t="s">
        <v>317</v>
      </c>
      <c r="B77" s="352"/>
      <c r="C77" s="353"/>
      <c r="D77" s="353"/>
      <c r="E77" s="354"/>
      <c r="F77" s="355"/>
      <c r="G77" s="356">
        <f>+L67+G72+G73+G74+G75</f>
        <v>2432852.0160000003</v>
      </c>
      <c r="H77" s="128"/>
      <c r="I77" s="128"/>
      <c r="J77" s="128"/>
      <c r="K77" s="128"/>
      <c r="L77" s="128"/>
      <c r="M77" s="130"/>
    </row>
    <row r="78" spans="1:15" ht="18" x14ac:dyDescent="0.25">
      <c r="A78" s="31"/>
      <c r="B78" s="31"/>
      <c r="C78" s="31"/>
      <c r="D78" s="128"/>
      <c r="E78" s="128"/>
      <c r="F78" s="128"/>
      <c r="G78" s="128"/>
      <c r="H78" s="128"/>
      <c r="I78" s="128"/>
      <c r="J78" s="128"/>
      <c r="K78" s="128"/>
      <c r="L78" s="128"/>
      <c r="M78" s="130"/>
    </row>
    <row r="79" spans="1:15" s="222" customFormat="1" ht="15" customHeight="1" x14ac:dyDescent="0.25">
      <c r="A79" s="119" t="s">
        <v>212</v>
      </c>
      <c r="B79" s="220"/>
      <c r="C79" s="220"/>
      <c r="D79" s="220"/>
      <c r="E79" s="220"/>
      <c r="F79" s="220"/>
      <c r="G79" s="220"/>
      <c r="H79" s="221"/>
      <c r="I79" s="220"/>
      <c r="J79" s="220"/>
      <c r="K79" s="220"/>
      <c r="L79" s="220"/>
      <c r="M79" s="220"/>
      <c r="N79" s="220"/>
      <c r="O79" s="220"/>
    </row>
    <row r="80" spans="1:15" s="222" customFormat="1" ht="15" customHeight="1" x14ac:dyDescent="0.25">
      <c r="A80" s="223" t="s">
        <v>210</v>
      </c>
      <c r="B80" s="220"/>
      <c r="C80" s="220"/>
      <c r="D80" s="220"/>
      <c r="E80" s="220"/>
      <c r="F80" s="220"/>
      <c r="G80" s="220"/>
      <c r="H80" s="220"/>
      <c r="I80" s="220"/>
      <c r="J80" s="220"/>
      <c r="K80" s="220"/>
      <c r="L80" s="220"/>
      <c r="M80" s="220"/>
      <c r="N80" s="220"/>
      <c r="O80" s="220"/>
    </row>
    <row r="81" spans="1:15" ht="15" customHeight="1" x14ac:dyDescent="0.25">
      <c r="A81" s="112"/>
      <c r="B81" s="33"/>
      <c r="C81" s="33"/>
      <c r="D81" s="33"/>
      <c r="E81" s="33"/>
      <c r="F81" s="33"/>
      <c r="G81" s="33"/>
      <c r="H81" s="33"/>
      <c r="I81" s="33"/>
      <c r="J81" s="33"/>
      <c r="K81" s="33"/>
      <c r="L81" s="33"/>
      <c r="M81" s="33"/>
      <c r="N81" s="33"/>
      <c r="O81" s="33"/>
    </row>
    <row r="82" spans="1:15" ht="15" customHeight="1" x14ac:dyDescent="0.2">
      <c r="A82" s="113" t="s">
        <v>348</v>
      </c>
      <c r="B82" s="33"/>
      <c r="C82" s="33"/>
      <c r="D82" s="33"/>
      <c r="E82" s="33"/>
      <c r="F82" s="33"/>
      <c r="G82" s="33"/>
      <c r="H82" s="33"/>
      <c r="I82" s="33"/>
      <c r="J82" s="33"/>
      <c r="K82" s="33"/>
      <c r="L82" s="33"/>
      <c r="M82" s="33"/>
      <c r="N82" s="33"/>
      <c r="O82" s="33"/>
    </row>
    <row r="83" spans="1:15" ht="15" customHeight="1" x14ac:dyDescent="0.2">
      <c r="A83" s="33"/>
      <c r="B83" s="33"/>
      <c r="C83" s="33"/>
      <c r="D83" s="33"/>
      <c r="E83" s="33"/>
      <c r="F83" s="33"/>
      <c r="G83" s="33"/>
      <c r="H83" s="33"/>
      <c r="I83" s="33"/>
      <c r="J83" s="33"/>
      <c r="K83" s="33"/>
      <c r="L83" s="33"/>
      <c r="M83" s="33"/>
      <c r="N83" s="33"/>
      <c r="O83" s="33"/>
    </row>
    <row r="84" spans="1:15" ht="15" customHeight="1" x14ac:dyDescent="0.2">
      <c r="A84" s="33"/>
      <c r="B84" s="33"/>
      <c r="C84" s="33"/>
      <c r="D84" s="33"/>
      <c r="E84" s="33"/>
      <c r="F84" s="33"/>
      <c r="G84" s="33"/>
      <c r="H84" s="33"/>
      <c r="I84" s="33"/>
      <c r="J84" s="33"/>
      <c r="K84" s="33"/>
      <c r="L84" s="33"/>
      <c r="M84" s="33"/>
      <c r="N84" s="33"/>
      <c r="O84" s="33"/>
    </row>
    <row r="85" spans="1:15" ht="14.1" customHeight="1" x14ac:dyDescent="0.2">
      <c r="A85" s="33"/>
      <c r="B85" s="33"/>
      <c r="C85" s="33"/>
      <c r="D85" s="33"/>
      <c r="E85" s="33"/>
      <c r="F85" s="33"/>
      <c r="G85" s="33"/>
      <c r="H85" s="33"/>
      <c r="I85" s="33"/>
      <c r="J85" s="33"/>
      <c r="K85" s="33"/>
      <c r="L85" s="33"/>
      <c r="M85" s="33"/>
      <c r="N85" s="33"/>
      <c r="O85" s="33"/>
    </row>
    <row r="86" spans="1:15" ht="15" x14ac:dyDescent="0.2">
      <c r="A86" s="33"/>
      <c r="B86" s="33"/>
      <c r="C86" s="33"/>
      <c r="D86" s="33"/>
      <c r="E86" s="33"/>
      <c r="F86" s="33"/>
      <c r="G86" s="33"/>
      <c r="H86" s="33"/>
      <c r="I86" s="33"/>
      <c r="J86" s="33"/>
      <c r="K86" s="33"/>
      <c r="L86" s="33"/>
      <c r="M86" s="33"/>
      <c r="N86" s="33"/>
      <c r="O86" s="33"/>
    </row>
    <row r="87" spans="1:15" ht="15" x14ac:dyDescent="0.2">
      <c r="A87" s="33"/>
      <c r="B87" s="33"/>
      <c r="C87" s="33"/>
      <c r="D87" s="33"/>
      <c r="E87" s="33"/>
      <c r="F87" s="33"/>
      <c r="G87" s="33"/>
      <c r="H87" s="33"/>
      <c r="I87" s="33"/>
      <c r="J87" s="33"/>
      <c r="K87" s="33"/>
      <c r="L87" s="33"/>
      <c r="M87" s="33"/>
      <c r="N87" s="33"/>
      <c r="O87" s="33"/>
    </row>
    <row r="88" spans="1:15" ht="15" x14ac:dyDescent="0.2">
      <c r="A88" s="33"/>
      <c r="B88" s="33"/>
      <c r="C88" s="33"/>
      <c r="D88" s="33"/>
      <c r="E88" s="33"/>
      <c r="F88" s="33"/>
      <c r="G88" s="33"/>
      <c r="H88" s="33"/>
      <c r="I88" s="33"/>
      <c r="J88" s="33"/>
      <c r="K88" s="33"/>
      <c r="L88" s="33"/>
      <c r="M88" s="33"/>
      <c r="N88" s="33"/>
      <c r="O88" s="33"/>
    </row>
    <row r="89" spans="1:15" ht="14.25" x14ac:dyDescent="0.2">
      <c r="A89" s="114"/>
      <c r="B89" s="114"/>
      <c r="C89" s="114"/>
      <c r="D89" s="114"/>
      <c r="E89" s="114"/>
      <c r="F89" s="114"/>
      <c r="G89" s="114"/>
      <c r="H89" s="114"/>
      <c r="I89" s="114"/>
      <c r="J89" s="114"/>
      <c r="K89" s="114"/>
      <c r="L89" s="114"/>
      <c r="M89" s="114"/>
      <c r="N89" s="114"/>
      <c r="O89" s="114"/>
    </row>
    <row r="90" spans="1:15" ht="14.25" x14ac:dyDescent="0.2">
      <c r="A90" s="114"/>
      <c r="B90" s="114"/>
      <c r="C90" s="114"/>
      <c r="D90" s="114"/>
      <c r="E90" s="114"/>
      <c r="F90" s="114"/>
      <c r="G90" s="114"/>
      <c r="H90" s="114"/>
      <c r="I90" s="114"/>
      <c r="J90" s="114"/>
      <c r="K90" s="114"/>
      <c r="L90" s="114"/>
      <c r="M90" s="114"/>
      <c r="N90" s="114"/>
      <c r="O90" s="114"/>
    </row>
  </sheetData>
  <sheetProtection formatColumns="0" formatRows="0"/>
  <mergeCells count="3">
    <mergeCell ref="D11:F11"/>
    <mergeCell ref="G11:I11"/>
    <mergeCell ref="J11:L11"/>
  </mergeCells>
  <phoneticPr fontId="3" type="noConversion"/>
  <dataValidations disablePrompts="1" count="6">
    <dataValidation type="list" allowBlank="1" showInputMessage="1" showErrorMessage="1" sqref="D11" xr:uid="{00000000-0002-0000-0200-000000000000}">
      <formula1>OBJEKT</formula1>
    </dataValidation>
    <dataValidation type="list" allowBlank="1" showInputMessage="1" showErrorMessage="1" sqref="D21 J16 G16 D18:D19 D16" xr:uid="{00000000-0002-0000-0200-000001000000}">
      <formula1>ARHINST</formula1>
    </dataValidation>
    <dataValidation type="list" allowBlank="1" showInputMessage="1" showErrorMessage="1" sqref="D17 D20" xr:uid="{00000000-0002-0000-0200-000002000000}">
      <formula1>KONS</formula1>
    </dataValidation>
    <dataValidation type="list" allowBlank="1" showInputMessage="1" showErrorMessage="1" sqref="G11" xr:uid="{00000000-0002-0000-0200-000003000000}">
      <formula1>ZUNANJA</formula1>
    </dataValidation>
    <dataValidation type="list" allowBlank="1" showInputMessage="1" showErrorMessage="1" sqref="J11" xr:uid="{00000000-0002-0000-0200-000004000000}">
      <formula1>OPREMA</formula1>
    </dataValidation>
    <dataValidation type="list" allowBlank="1" showInputMessage="1" showErrorMessage="1" sqref="K4:K8" xr:uid="{00000000-0002-0000-0200-000005000000}">
      <formula1>DANE</formula1>
    </dataValidation>
  </dataValidations>
  <pageMargins left="0.98425196850393704" right="0.39370078740157483" top="0.39370078740157483" bottom="0.39370078740157483" header="0" footer="0"/>
  <pageSetup paperSize="9" scale="4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4"/>
    <pageSetUpPr fitToPage="1"/>
  </sheetPr>
  <dimension ref="A2:S93"/>
  <sheetViews>
    <sheetView showGridLines="0" topLeftCell="A4" zoomScale="80" zoomScaleNormal="80" workbookViewId="0">
      <selection activeCell="A31" sqref="A31"/>
    </sheetView>
  </sheetViews>
  <sheetFormatPr defaultColWidth="9.140625" defaultRowHeight="12.75" x14ac:dyDescent="0.2"/>
  <cols>
    <col min="1" max="1" width="20.7109375" style="34" customWidth="1"/>
    <col min="2" max="2" width="25.7109375" style="34" customWidth="1"/>
    <col min="3" max="3" width="20.42578125" style="34" customWidth="1"/>
    <col min="4" max="11" width="16.7109375" style="34" customWidth="1"/>
    <col min="12" max="12" width="23.85546875" style="34" customWidth="1"/>
    <col min="13" max="13" width="24.5703125" style="34" customWidth="1"/>
    <col min="14" max="14" width="3.7109375" style="34" customWidth="1"/>
    <col min="15" max="15" width="24" style="34" customWidth="1"/>
    <col min="16" max="16" width="19.28515625" style="34" customWidth="1"/>
    <col min="17" max="17" width="14.85546875" style="34" customWidth="1"/>
    <col min="18" max="18" width="14.42578125" style="34" customWidth="1"/>
    <col min="19" max="16384" width="9.140625" style="34"/>
  </cols>
  <sheetData>
    <row r="2" spans="1:18" s="29" customFormat="1" ht="19.5" x14ac:dyDescent="0.25">
      <c r="C2" s="224" t="str">
        <f>EUR!C2</f>
        <v>ARHIGRAM 4</v>
      </c>
      <c r="D2" s="225" t="str">
        <f>EUR!D2</f>
        <v>interaktivni program za izračun vrednosti projektantskih storitev</v>
      </c>
      <c r="E2" s="30"/>
      <c r="I2" s="31"/>
    </row>
    <row r="3" spans="1:18" ht="114" customHeight="1" x14ac:dyDescent="0.25">
      <c r="A3" s="29"/>
      <c r="B3" s="29"/>
      <c r="C3" s="357" t="str">
        <f>EUR!C3</f>
        <v>V 4.10</v>
      </c>
      <c r="D3" s="358" t="str">
        <f>EUR!D3</f>
        <v>OKTOBER 2021</v>
      </c>
      <c r="E3" s="32"/>
      <c r="F3" s="32"/>
      <c r="G3" s="43"/>
      <c r="H3" s="29"/>
      <c r="I3" s="31"/>
      <c r="J3" s="29"/>
      <c r="K3" s="29"/>
      <c r="L3" s="29"/>
      <c r="M3" s="29"/>
      <c r="N3" s="33"/>
      <c r="O3" s="33"/>
    </row>
    <row r="4" spans="1:18" ht="15" customHeight="1" x14ac:dyDescent="0.25">
      <c r="A4" s="29"/>
      <c r="B4" s="29"/>
      <c r="C4" s="35" t="s">
        <v>21</v>
      </c>
      <c r="D4" s="229" t="str">
        <f>EUR!D4</f>
        <v>Janez Novak</v>
      </c>
      <c r="E4" s="230"/>
      <c r="F4" s="230"/>
      <c r="G4" s="125" t="str">
        <f>EUR!G4</f>
        <v>GRADBENO DOVOLJENJE</v>
      </c>
      <c r="H4" s="245"/>
      <c r="I4" s="245"/>
      <c r="J4" s="246" t="str">
        <f>EUR!K4</f>
        <v>DA</v>
      </c>
      <c r="K4" s="29"/>
      <c r="L4" s="29"/>
      <c r="M4" s="29"/>
    </row>
    <row r="5" spans="1:18" ht="15" customHeight="1" x14ac:dyDescent="0.25">
      <c r="A5" s="29"/>
      <c r="B5" s="29"/>
      <c r="D5" s="231" t="str">
        <f>EUR!D5</f>
        <v>Slovenska 1, 1000 Ljubljana</v>
      </c>
      <c r="E5" s="230"/>
      <c r="F5" s="230"/>
      <c r="G5" s="125" t="str">
        <f>EUR!G5</f>
        <v>PID</v>
      </c>
      <c r="H5" s="245"/>
      <c r="I5" s="245"/>
      <c r="J5" s="246" t="str">
        <f>EUR!K5</f>
        <v>NE</v>
      </c>
      <c r="K5" s="39"/>
      <c r="L5" s="39"/>
      <c r="M5" s="39"/>
    </row>
    <row r="6" spans="1:18" ht="15" customHeight="1" x14ac:dyDescent="0.25">
      <c r="A6" s="29"/>
      <c r="B6" s="29"/>
      <c r="C6" s="35" t="s">
        <v>10</v>
      </c>
      <c r="D6" s="229" t="str">
        <f>EUR!D6</f>
        <v>ARHITEKT d.o.o.</v>
      </c>
      <c r="E6" s="230"/>
      <c r="F6" s="230"/>
      <c r="G6" s="125" t="str">
        <f>EUR!G6</f>
        <v>PRENOVA</v>
      </c>
      <c r="H6" s="245"/>
      <c r="I6" s="245"/>
      <c r="J6" s="246" t="str">
        <f>EUR!K6</f>
        <v>DA</v>
      </c>
      <c r="K6" s="39"/>
      <c r="L6" s="39"/>
      <c r="M6" s="39"/>
    </row>
    <row r="7" spans="1:18" ht="15" customHeight="1" x14ac:dyDescent="0.25">
      <c r="A7" s="29"/>
      <c r="B7" s="29"/>
      <c r="C7" s="35" t="s">
        <v>8</v>
      </c>
      <c r="D7" s="229" t="str">
        <f>EUR!D7</f>
        <v>Gradnja enostanovanjskega objekta</v>
      </c>
      <c r="E7" s="232"/>
      <c r="F7" s="230"/>
      <c r="G7" s="125" t="str">
        <f>EUR!G7</f>
        <v>UPORABA BIM PROCESOV</v>
      </c>
      <c r="H7" s="245"/>
      <c r="I7" s="245"/>
      <c r="J7" s="246" t="str">
        <f>EUR!K7</f>
        <v>NE</v>
      </c>
      <c r="K7" s="39"/>
      <c r="L7" s="39"/>
      <c r="M7" s="39"/>
    </row>
    <row r="8" spans="1:18" ht="15" customHeight="1" x14ac:dyDescent="0.25">
      <c r="A8" s="29"/>
      <c r="B8" s="29"/>
      <c r="C8" s="41" t="s">
        <v>9</v>
      </c>
      <c r="D8" s="233">
        <f>EUR!D8</f>
        <v>43381</v>
      </c>
      <c r="E8" s="232"/>
      <c r="F8" s="230"/>
      <c r="G8" s="125" t="str">
        <f>EUR!G8</f>
        <v>VKLJUČEVANJE IZDELOVALCEV DRUGIH NAČRTOV V POGODBO</v>
      </c>
      <c r="H8" s="245"/>
      <c r="I8" s="245"/>
      <c r="J8" s="246" t="str">
        <f>EUR!K8</f>
        <v>NE</v>
      </c>
      <c r="K8" s="39"/>
      <c r="L8" s="39"/>
      <c r="M8" s="39"/>
    </row>
    <row r="9" spans="1:18" ht="15" customHeight="1" x14ac:dyDescent="0.2"/>
    <row r="10" spans="1:18" ht="15" customHeight="1" x14ac:dyDescent="0.25">
      <c r="A10" s="247" t="s">
        <v>14</v>
      </c>
      <c r="B10" s="247"/>
      <c r="C10" s="248"/>
      <c r="D10" s="248" t="s">
        <v>67</v>
      </c>
      <c r="E10" s="247"/>
      <c r="F10" s="249"/>
      <c r="G10" s="247" t="s">
        <v>16</v>
      </c>
      <c r="H10" s="247"/>
      <c r="I10" s="249"/>
      <c r="J10" s="247" t="s">
        <v>17</v>
      </c>
      <c r="K10" s="247"/>
      <c r="L10" s="247"/>
      <c r="M10" s="247" t="s">
        <v>6</v>
      </c>
      <c r="O10" s="247" t="s">
        <v>83</v>
      </c>
      <c r="P10" s="247"/>
      <c r="Q10" s="247"/>
      <c r="R10" s="247"/>
    </row>
    <row r="11" spans="1:18" s="48" customFormat="1" ht="39" customHeight="1" x14ac:dyDescent="0.2">
      <c r="A11" s="123" t="str">
        <f>EUR!A11</f>
        <v>VRSTA OBJEKTA</v>
      </c>
      <c r="B11" s="123"/>
      <c r="C11" s="124"/>
      <c r="D11" s="419" t="str">
        <f>EUR!D11</f>
        <v>ENODRUŽINSKA HIŠA</v>
      </c>
      <c r="E11" s="420"/>
      <c r="F11" s="421"/>
      <c r="G11" s="419" t="str">
        <f>EUR!G11</f>
        <v xml:space="preserve">KRAJINSKA UREDITEV OB OBJEKTIH </v>
      </c>
      <c r="H11" s="420"/>
      <c r="I11" s="421"/>
      <c r="J11" s="422" t="str">
        <f>EUR!J11</f>
        <v>NEZAHTEVNA OPREMA</v>
      </c>
      <c r="K11" s="423"/>
      <c r="L11" s="424"/>
      <c r="M11" s="253"/>
      <c r="O11" s="49"/>
      <c r="P11" s="234" t="s">
        <v>60</v>
      </c>
      <c r="Q11" s="51" t="s">
        <v>61</v>
      </c>
      <c r="R11" s="50" t="s">
        <v>102</v>
      </c>
    </row>
    <row r="12" spans="1:18" ht="15" customHeight="1" x14ac:dyDescent="0.25">
      <c r="A12" s="21" t="str">
        <f>EUR!A12</f>
        <v>POVRŠINA</v>
      </c>
      <c r="B12" s="22"/>
      <c r="C12" s="52"/>
      <c r="D12" s="53">
        <f>EUR!D12</f>
        <v>70000</v>
      </c>
      <c r="E12" s="22" t="s">
        <v>15</v>
      </c>
      <c r="F12" s="23"/>
      <c r="G12" s="254">
        <f>EUR!G12</f>
        <v>0</v>
      </c>
      <c r="H12" s="22" t="s">
        <v>15</v>
      </c>
      <c r="I12" s="23"/>
      <c r="J12" s="254">
        <f>EUR!J12</f>
        <v>0</v>
      </c>
      <c r="K12" s="22" t="s">
        <v>15</v>
      </c>
      <c r="L12" s="24"/>
      <c r="M12" s="53"/>
      <c r="O12" s="54" t="str">
        <f>EUR!O12</f>
        <v>ARHITEKTURA</v>
      </c>
      <c r="P12" s="235" t="str">
        <f>EUR!P12</f>
        <v>IA</v>
      </c>
      <c r="Q12" s="56">
        <f>EUR!Q12</f>
        <v>70000000</v>
      </c>
      <c r="R12" s="57">
        <f>IF(Q12&lt;2500000,IF(D16="III RAZRED",-1*POWER(10,-10)*POWER(Q12,2)+0.0015*Q12+99.863, IF(D16="II-III RAZRED", -1*POWER(10,-10)*POWER(Q12,2)+0.0013*Q12+86.045, IF(D16="I-II RAZRED", -9*POWER(10,-11)*POWER(Q12,2)+0.0011*Q12+72.344, IF(D16="I RAZRED", -7*POWER(10,-11)*POWER(Q12,2)+0.0009*Q12+58.754)))), IF(D16="III RAZRED",-6*POWER(10,-12)*POWER(Q12,2)+0.001*Q12+645.9, IF(D16="II-III RAZRED", -6*POWER(10,-12)*POWER(Q12,2)+0.0009*Q12+553.64, IF(D16="I-II RAZRED", -5*POWER(10,-12)*POWER(Q12,2)+0.0007*Q12+461.67, IF(D16="I RAZRED", -4*POWER(10,-12)*POWER(Q12,2)+0.0006*Q12+369.38)))))</f>
        <v>22769.379999999994</v>
      </c>
    </row>
    <row r="13" spans="1:18" ht="15" customHeight="1" x14ac:dyDescent="0.25">
      <c r="A13" s="21" t="str">
        <f>EUR!A13</f>
        <v>PRIPOROČENA VREDNOST EUR/m2 BEP</v>
      </c>
      <c r="B13" s="22"/>
      <c r="C13" s="52"/>
      <c r="D13" s="25" t="str">
        <f>EUR!D13</f>
        <v>600-800</v>
      </c>
      <c r="E13" s="26" t="s">
        <v>46</v>
      </c>
      <c r="F13" s="23"/>
      <c r="G13" s="27" t="str">
        <f>EUR!G13</f>
        <v>60–120</v>
      </c>
      <c r="H13" s="26" t="s">
        <v>46</v>
      </c>
      <c r="I13" s="23"/>
      <c r="J13" s="27" t="str">
        <f>EUR!J13</f>
        <v>100–200</v>
      </c>
      <c r="K13" s="26" t="s">
        <v>46</v>
      </c>
      <c r="L13" s="24"/>
      <c r="M13" s="53"/>
      <c r="O13" s="57" t="str">
        <f>EUR!O13</f>
        <v>KONSTRUKCIJE</v>
      </c>
      <c r="P13" s="235" t="str">
        <f>EUR!P13</f>
        <v>IG</v>
      </c>
      <c r="Q13" s="56">
        <f>EUR!Q13</f>
        <v>31696000</v>
      </c>
      <c r="R13" s="57">
        <f>IF(Q13&lt;250000,IF(D17="V RAZRED",-2*POWER(10,-9)*POWER(Q13,2)+0.0026*Q13+25.393, IF(D17="IV-V RAZRED", -2*POWER(10,-9)*POWER(Q13,2)+0.0024*Q13+23.553, IF(D17="III-IV RAZRED", -2*POWER(10,-9)*POWER(Q13,2)+0.0021*Q13+19.354, IF(D17="II-III RAZRED", -1*POWER(10,-9)*POWER(Q13,2)+0.0016*Q13+14.164,  IF(D17="I-II RAZRED", -1*POWER(10,-9)*POWER(Q13,2)+0.0013*Q13+9.9761, IF(D17="I RAZRED", -8*POWER(10,-10)*POWER(Q13,2)+0.0011*Q13+8.5321)))))), IF(D17="V RAZRED",-2*POWER(10,-11)*POWER(Q13,2)+0.0011*Q13+393.91, IF(D17="IV-V RAZRED", -2*POWER(10,-11)*POWER(Q13,2)+0.001*Q13+369.75,  IF(D17="III-IV RAZRED", -2*POWER(10,-11)*POWER(Q13,2)+0.0009*Q13+308.64,  IF(D17="II-III RAZRED", -1*POWER(10,-11)*POWER(Q13,2)+0.0007*Q13+235.7,  IF(D17="I-II RAZRED", -9*POWER(10,-12)*POWER(Q13,2)+0.0006*Q13+174.4, IF(D17="I RAZRED", -8*POWER(10,-12)*POWER(Q13,2)+0.0006*Q13+150.28)))))))</f>
        <v>10150.272255999998</v>
      </c>
    </row>
    <row r="14" spans="1:18" ht="15" customHeight="1" x14ac:dyDescent="0.25">
      <c r="A14" s="21" t="str">
        <f>EUR!A14</f>
        <v>EUR/m2 BEP</v>
      </c>
      <c r="B14" s="22"/>
      <c r="C14" s="59"/>
      <c r="D14" s="75">
        <f>EUR!D14</f>
        <v>1000</v>
      </c>
      <c r="E14" s="22" t="s">
        <v>46</v>
      </c>
      <c r="F14" s="28"/>
      <c r="G14" s="254">
        <f>EUR!G14</f>
        <v>60</v>
      </c>
      <c r="H14" s="22" t="s">
        <v>46</v>
      </c>
      <c r="I14" s="26"/>
      <c r="J14" s="254">
        <f>EUR!J14</f>
        <v>200</v>
      </c>
      <c r="K14" s="22" t="s">
        <v>46</v>
      </c>
      <c r="L14" s="24"/>
      <c r="M14" s="53"/>
      <c r="O14" s="54" t="str">
        <f>EUR!O14</f>
        <v>STROJNE INSTALACIJE</v>
      </c>
      <c r="P14" s="235" t="str">
        <f>EUR!P14</f>
        <v>IS</v>
      </c>
      <c r="Q14" s="56">
        <f>EUR!Q14</f>
        <v>9800000.0000000019</v>
      </c>
      <c r="R14" s="57">
        <f>IF(Q14&lt;250000,IF(D18="III RAZRED",-4*POWER(10,-9)*POWER(Q14,2)+0.0032*Q14+24.952, IF(D18="II-III RAZRED", -3*POWER(10,-9)*POWER(Q14,2)+0.0027*Q14+21.05, IF(D18="I-II RAZRED", -3*POWER(10,-9)*POWER(Q14,2)+0.0022*Q14+17.833, IF(D18="I RAZRED", -2*POWER(10,-9)*POWER(Q14,2)+0.0017*Q14+14.332)))), IF(D18="III RAZRED",-1*POWER(10,-10)*POWER(Q14,2)+0.0015*Q14+259.83, IF(D18="II-III RAZRED", -8*POWER(10,-11)*POWER(Q14,2)+0.0014*Q14+187.46, IF(D18="I-II RAZRED", -7*POWER(10,-11)*POWER(Q14,2)+0.0013*Q14+115.07, IF(D18="I RAZRED", -5*POWER(10,-11)*POWER(Q14,2)+0.0012*Q14+42.881)))))</f>
        <v>6132.27</v>
      </c>
    </row>
    <row r="15" spans="1:18" ht="15" customHeight="1" x14ac:dyDescent="0.25">
      <c r="A15" s="120" t="str">
        <f>EUR!A15</f>
        <v>STOPNJE TEŽAVNOSTI</v>
      </c>
      <c r="B15" s="62"/>
      <c r="C15" s="63"/>
      <c r="D15" s="64"/>
      <c r="E15" s="53"/>
      <c r="F15" s="63"/>
      <c r="G15" s="65"/>
      <c r="H15" s="66"/>
      <c r="I15" s="67"/>
      <c r="J15" s="65"/>
      <c r="K15" s="62"/>
      <c r="L15" s="251"/>
      <c r="M15" s="53"/>
      <c r="O15" s="54" t="str">
        <f>EUR!O15</f>
        <v>ELEKTRO INSTALACIJE</v>
      </c>
      <c r="P15" s="235" t="str">
        <f>EUR!P15</f>
        <v>IE</v>
      </c>
      <c r="Q15" s="56">
        <f>EUR!Q15</f>
        <v>9800000.0000000019</v>
      </c>
      <c r="R15" s="57">
        <f>IF(Q15&lt;250000,IF(D19="III RAZRED",-4*POWER(10,-9)*POWER(Q15,2)+0.0032*Q15+24.952, IF(D19="II-III RAZRED", -3*POWER(10,-9)*POWER(Q15,2)+0.0027*Q15+21.05, IF(D19="I-II RAZRED", -3*POWER(10,-9)*POWER(Q15,2)+0.0022*Q15+17.833, IF(D19="I RAZRED", -2*POWER(10,-9)*POWER(Q15,2)+0.0017*Q15+14.332)))), IF(D19="III RAZRED",-1*POWER(10,-10)*POWER(Q15,2)+0.0015*Q15+259.83, IF(D19="II-III RAZRED", -8*POWER(10,-11)*POWER(Q15,2)+0.0014*Q15+187.46, IF(D19="I-II RAZRED", -7*POWER(10,-11)*POWER(Q15,2)+0.0013*Q15+115.07, IF(D19="I RAZRED", -5*POWER(10,-11)*POWER(Q15,2)+0.0012*Q15+42.881)))))</f>
        <v>6132.27</v>
      </c>
    </row>
    <row r="16" spans="1:18" ht="15" customHeight="1" x14ac:dyDescent="0.25">
      <c r="A16" s="121"/>
      <c r="B16" s="31" t="s">
        <v>0</v>
      </c>
      <c r="C16" s="69"/>
      <c r="D16" s="255" t="str">
        <f>EUR!D16</f>
        <v>I RAZRED</v>
      </c>
      <c r="E16" s="26"/>
      <c r="F16" s="26"/>
      <c r="G16" s="255" t="str">
        <f>EUR!G16</f>
        <v>III RAZRED</v>
      </c>
      <c r="H16" s="26"/>
      <c r="I16" s="26"/>
      <c r="J16" s="255" t="str">
        <f>EUR!J16</f>
        <v>II-III RAZRED</v>
      </c>
      <c r="K16" s="26"/>
      <c r="L16" s="28"/>
      <c r="M16" s="53"/>
      <c r="O16" s="54" t="str">
        <f>EUR!O16</f>
        <v>TOPLOTNA ZAŠČITA</v>
      </c>
      <c r="P16" s="235" t="str">
        <f>EUR!P16</f>
        <v>ITZ</v>
      </c>
      <c r="Q16" s="56">
        <f>EUR!Q16</f>
        <v>70000000</v>
      </c>
      <c r="R16" s="57">
        <f>IF(Q16&lt;5000000, -5*POWER(10,-12)*POWER(Q16,2)+5*POWER(10,-5)*Q16+34.867, -3*POWER(10,-13)*POWER(Q16,2)+2*POWER(10,-5)*Q16+104.23)</f>
        <v>34.230000000000004</v>
      </c>
    </row>
    <row r="17" spans="1:19" ht="15" customHeight="1" x14ac:dyDescent="0.25">
      <c r="A17" s="121"/>
      <c r="B17" s="31" t="s">
        <v>11</v>
      </c>
      <c r="C17" s="69"/>
      <c r="D17" s="256" t="str">
        <f>EUR!D17</f>
        <v>I-II RAZRED</v>
      </c>
      <c r="E17" s="26"/>
      <c r="F17" s="26"/>
      <c r="G17" s="75"/>
      <c r="H17" s="66"/>
      <c r="I17" s="67"/>
      <c r="J17" s="65"/>
      <c r="K17" s="62"/>
      <c r="L17" s="252"/>
      <c r="M17" s="53"/>
      <c r="O17" s="238" t="str">
        <f>EUR!O17</f>
        <v>HRUP</v>
      </c>
      <c r="P17" s="235" t="str">
        <f>EUR!P17</f>
        <v>IZH</v>
      </c>
      <c r="Q17" s="56">
        <f>EUR!Q17</f>
        <v>70000000</v>
      </c>
      <c r="R17" s="57">
        <f>IF(D20="V RAZRED",-4*POWER(10,-13)*POWER(Q17,2)+4*POWER(10,-5)*Q17+37.897, IF(D20="IV-V RAZRED", -3*POWER(10,-13)*POWER(Q17,2)+4*POWER(10,-5)*Q17+34.637, IF(D20="III-IV RAZRED", -3*POWER(10,-13)*POWER(Q17,2)+3*POWER(10,-5)*Q17+30.85, IF(D20="II-III RAZRED", -2*POWER(10,-13)*POWER(Q17,2)+3*POWER(10,-5)*Q17+24.253,  IF(D20="I-II RAZRED", -1*POWER(10,-13)*POWER(Q17,2)+2*POWER(10,-5)*Q17+20.473, IF(D20="I RAZRED", -8*POWER(10,-14)*POWER(Q17,2)+2*POWER(10,-5)*Q17+17.099))))))</f>
        <v>930.47300000000018</v>
      </c>
    </row>
    <row r="18" spans="1:19" ht="15" customHeight="1" x14ac:dyDescent="0.25">
      <c r="A18" s="121"/>
      <c r="B18" s="31" t="s">
        <v>12</v>
      </c>
      <c r="C18" s="69"/>
      <c r="D18" s="64" t="str">
        <f>EUR!D18</f>
        <v>I-II RAZRED</v>
      </c>
      <c r="E18" s="26"/>
      <c r="F18" s="28"/>
      <c r="G18" s="53"/>
      <c r="H18" s="66"/>
      <c r="I18" s="67"/>
      <c r="J18" s="53"/>
      <c r="K18" s="62"/>
      <c r="L18" s="252"/>
      <c r="M18" s="53"/>
      <c r="O18" s="77" t="str">
        <f>EUR!O18</f>
        <v>POŽAR</v>
      </c>
      <c r="P18" s="235" t="str">
        <f>EUR!P18</f>
        <v>IVP</v>
      </c>
      <c r="Q18" s="56">
        <f>EUR!Q18</f>
        <v>70000000</v>
      </c>
      <c r="R18" s="57">
        <f>IF(Q18&lt;2500000,IF(D21="III RAZRED",-7*POWER(10,-12)*POWER(Q18,2)+7*POWER(10,-5)*Q18+17.867, IF(D21="II-III RAZRED", -6*POWER(10,-12)*POWER(Q18,2)+6*POWER(10,-5)*Q18+15.798, IF(D21="I-II RAZRED", -6*POWER(10,-12)*POWER(Q18,2)+5*POWER(10,-5)*Q18+13.792, IF(D21="I RAZRED", -5*POWER(10,-12)*POWER(Q18,2)+5*POWER(10,-5)*Q18+11.738)))), IF(D21="III RAZRED",-3*POWER(10,-13)*POWER(Q18,2)+3*POWER(10,-5)*Q18+64.034, IF(D21="II-III RAZRED", -3*POWER(10,-13)*POWER(Q18,2)+3*POWER(10,-5)*Q18+59.78, IF(D21="I-II RAZRED", -3*POWER(10,-13)*POWER(Q18,2)+2*POWER(10,-5)*Q18+55.526, IF(D21="I RAZRED", -2*POWER(10,-13)*POWER(Q18,2)+2*POWER(10,-5)*Q18+48.095)))))</f>
        <v>468.09500000000025</v>
      </c>
    </row>
    <row r="19" spans="1:19" ht="15" customHeight="1" x14ac:dyDescent="0.25">
      <c r="A19" s="121"/>
      <c r="B19" s="31" t="s">
        <v>13</v>
      </c>
      <c r="C19" s="69"/>
      <c r="D19" s="64" t="str">
        <f>EUR!D19</f>
        <v>I-II RAZRED</v>
      </c>
      <c r="E19" s="26"/>
      <c r="F19" s="28"/>
      <c r="G19" s="53"/>
      <c r="H19" s="66"/>
      <c r="I19" s="67"/>
      <c r="J19" s="53"/>
      <c r="K19" s="62"/>
      <c r="L19" s="252"/>
      <c r="M19" s="53"/>
      <c r="O19" s="238" t="str">
        <f>EUR!O19</f>
        <v>DOKUMENTACIJA ZA DOVOLJEVANJE</v>
      </c>
      <c r="P19" s="235" t="str">
        <f>EUR!P19</f>
        <v>ID</v>
      </c>
      <c r="Q19" s="56">
        <f>EUR!Q19</f>
        <v>70000000</v>
      </c>
      <c r="R19" s="57">
        <f>IF(Q19&lt;5000000, -2*POWER(10,-12)*POWER(Q19,2)+6*POWER(10,-5)*Q19+31.557, 2*POWER(10,-13)*POWER(Q19,2)+1*POWER(10,-5)*Q19+210.4)</f>
        <v>1890.4</v>
      </c>
    </row>
    <row r="20" spans="1:19" ht="15" customHeight="1" x14ac:dyDescent="0.25">
      <c r="A20" s="121"/>
      <c r="B20" s="29" t="s">
        <v>27</v>
      </c>
      <c r="C20" s="69"/>
      <c r="D20" s="64" t="str">
        <f>EUR!D20</f>
        <v>I-II RAZRED</v>
      </c>
      <c r="E20" s="26"/>
      <c r="F20" s="28"/>
      <c r="G20" s="53"/>
      <c r="H20" s="66"/>
      <c r="I20" s="67"/>
      <c r="J20" s="53"/>
      <c r="K20" s="62"/>
      <c r="L20" s="252"/>
      <c r="M20" s="53"/>
      <c r="O20" s="238" t="str">
        <f>EUR!O20</f>
        <v>UREDITEV POVRŠIN</v>
      </c>
      <c r="P20" s="235" t="str">
        <f>EUR!P20</f>
        <v>IZU</v>
      </c>
      <c r="Q20" s="56">
        <f>EUR!Q20</f>
        <v>0</v>
      </c>
      <c r="R20" s="34">
        <f>IF(Q20=0,0,IF(Q20&lt;10000,ROUND(VLOOKUP(10000,PODATKI!A227:E228,PODATKI!I228),0),ROUND(FORECAST(Q20,PODATKI!I231:I232,PODATKI!I233:I234),0)))</f>
        <v>0</v>
      </c>
    </row>
    <row r="21" spans="1:19" ht="15" customHeight="1" x14ac:dyDescent="0.25">
      <c r="A21" s="121"/>
      <c r="B21" s="80" t="s">
        <v>19</v>
      </c>
      <c r="C21" s="69"/>
      <c r="D21" s="255" t="str">
        <f>EUR!D21</f>
        <v>I RAZRED</v>
      </c>
      <c r="E21" s="26"/>
      <c r="F21" s="28"/>
      <c r="G21" s="53"/>
      <c r="H21" s="66"/>
      <c r="I21" s="67"/>
      <c r="J21" s="53"/>
      <c r="K21" s="62"/>
      <c r="L21" s="252"/>
      <c r="M21" s="53"/>
      <c r="O21" s="238" t="str">
        <f>EUR!O21</f>
        <v>NOTRANJA OPREMA</v>
      </c>
      <c r="P21" s="235" t="str">
        <f>EUR!P21</f>
        <v>IOP</v>
      </c>
      <c r="Q21" s="56">
        <f>EUR!Q21</f>
        <v>0</v>
      </c>
      <c r="R21" s="34">
        <f>IF(Q21=0,0,IF(Q21&lt;10000,ROUND(VLOOKUP(10000,PODATKI!A156:E156,PODATKI!I156),0),ROUND(FORECAST(Q21,PODATKI!I159:I160,PODATKI!I161:I162),0)))</f>
        <v>0</v>
      </c>
      <c r="S21" s="236"/>
    </row>
    <row r="22" spans="1:19" ht="15" customHeight="1" x14ac:dyDescent="0.25">
      <c r="A22" s="122"/>
      <c r="B22" s="81"/>
      <c r="C22" s="82"/>
      <c r="E22" s="83"/>
      <c r="F22" s="84"/>
      <c r="G22" s="83"/>
      <c r="H22" s="85"/>
      <c r="I22" s="86"/>
      <c r="J22" s="83"/>
      <c r="K22" s="87"/>
      <c r="L22" s="86"/>
      <c r="M22" s="88"/>
      <c r="O22" s="238" t="str">
        <f>EUR!O22</f>
        <v>ODGOVORNO VODENJE</v>
      </c>
      <c r="P22" s="235"/>
      <c r="Q22" s="56"/>
      <c r="R22" s="57">
        <f>SUM(R12:R21)*0.1</f>
        <v>4850.7390255999999</v>
      </c>
    </row>
    <row r="23" spans="1:19" ht="15" customHeight="1" x14ac:dyDescent="0.25">
      <c r="A23" s="120" t="str">
        <f>EUR!A23</f>
        <v>VREDNOST INVESTICIJE GOI</v>
      </c>
      <c r="B23" s="62"/>
      <c r="C23" s="62"/>
      <c r="D23" s="227">
        <f>EUR!D23</f>
        <v>70000000</v>
      </c>
      <c r="E23" s="53"/>
      <c r="F23" s="63"/>
      <c r="G23" s="228">
        <f>EUR!G23</f>
        <v>0</v>
      </c>
      <c r="H23" s="66"/>
      <c r="I23" s="67"/>
      <c r="J23" s="228">
        <f>EUR!J23</f>
        <v>0</v>
      </c>
      <c r="K23" s="62"/>
      <c r="L23" s="67"/>
      <c r="M23" s="226">
        <f>+D23+G23+J23</f>
        <v>70000000</v>
      </c>
      <c r="O23" s="238" t="str">
        <f>EUR!O23</f>
        <v>SKUPAJ</v>
      </c>
      <c r="P23" s="237"/>
      <c r="Q23" s="56"/>
      <c r="R23" s="55">
        <f>SUM(R12:R22)</f>
        <v>53358.129281599999</v>
      </c>
    </row>
    <row r="24" spans="1:19" ht="15" customHeight="1" x14ac:dyDescent="0.25">
      <c r="A24" s="121"/>
      <c r="B24" s="31" t="s">
        <v>32</v>
      </c>
      <c r="C24" s="89">
        <f>EUR!C24</f>
        <v>0.72</v>
      </c>
      <c r="D24" s="80">
        <f>EUR!D24</f>
        <v>50400000</v>
      </c>
      <c r="E24" s="53"/>
      <c r="F24" s="63"/>
      <c r="G24" s="53"/>
      <c r="H24" s="66"/>
      <c r="I24" s="67"/>
      <c r="J24" s="62"/>
      <c r="K24" s="53"/>
      <c r="L24" s="67"/>
      <c r="M24" s="53"/>
      <c r="P24" s="239"/>
      <c r="Q24" s="238"/>
    </row>
    <row r="25" spans="1:19" ht="15" customHeight="1" x14ac:dyDescent="0.25">
      <c r="A25" s="121"/>
      <c r="B25" s="31" t="s">
        <v>33</v>
      </c>
      <c r="C25" s="89">
        <f>EUR!C25</f>
        <v>0.14000000000000001</v>
      </c>
      <c r="D25" s="80">
        <f>EUR!D25</f>
        <v>9800000.0000000019</v>
      </c>
      <c r="E25" s="53"/>
      <c r="F25" s="63"/>
      <c r="G25" s="53"/>
      <c r="H25" s="66"/>
      <c r="I25" s="67"/>
      <c r="J25" s="62"/>
      <c r="K25" s="53"/>
      <c r="L25" s="67"/>
      <c r="M25" s="53"/>
      <c r="P25" s="239"/>
      <c r="Q25" s="238"/>
    </row>
    <row r="26" spans="1:19" ht="15" customHeight="1" x14ac:dyDescent="0.25">
      <c r="A26" s="121"/>
      <c r="B26" s="31" t="s">
        <v>34</v>
      </c>
      <c r="C26" s="89">
        <f>EUR!C26</f>
        <v>0.14000000000000001</v>
      </c>
      <c r="D26" s="80">
        <f>EUR!D26</f>
        <v>9800000.0000000019</v>
      </c>
      <c r="E26" s="53"/>
      <c r="F26" s="63"/>
      <c r="G26" s="53"/>
      <c r="H26" s="66"/>
      <c r="I26" s="67"/>
      <c r="J26" s="62"/>
      <c r="K26" s="53"/>
      <c r="L26" s="67"/>
      <c r="M26" s="53"/>
      <c r="P26" s="239"/>
      <c r="Q26" s="238"/>
    </row>
    <row r="27" spans="1:19" ht="15" customHeight="1" x14ac:dyDescent="0.25">
      <c r="A27" s="122"/>
      <c r="B27" s="90" t="s">
        <v>35</v>
      </c>
      <c r="C27" s="91">
        <f>EUR!C27</f>
        <v>0</v>
      </c>
      <c r="D27" s="92">
        <f>EUR!D27</f>
        <v>0</v>
      </c>
      <c r="E27" s="83"/>
      <c r="F27" s="84"/>
      <c r="G27" s="83"/>
      <c r="H27" s="85"/>
      <c r="I27" s="86"/>
      <c r="J27" s="87"/>
      <c r="K27" s="83"/>
      <c r="L27" s="86"/>
      <c r="M27" s="83"/>
    </row>
    <row r="28" spans="1:19" ht="15" customHeight="1" x14ac:dyDescent="0.2"/>
    <row r="29" spans="1:19" s="29" customFormat="1" ht="18" x14ac:dyDescent="0.25">
      <c r="A29" s="247">
        <f>EUR!A29</f>
        <v>0</v>
      </c>
      <c r="B29" s="247"/>
      <c r="C29" s="248"/>
      <c r="D29" s="258" t="str">
        <f>EUR!D29</f>
        <v>IZP</v>
      </c>
      <c r="E29" s="247"/>
      <c r="F29" s="346" t="str">
        <f>EUR!F29</f>
        <v>DGD</v>
      </c>
      <c r="G29" s="247"/>
      <c r="H29" s="411" t="str">
        <f>EUR!H29</f>
        <v>PZI</v>
      </c>
      <c r="I29" s="249" t="s">
        <v>5</v>
      </c>
      <c r="J29" s="264" t="s">
        <v>4</v>
      </c>
      <c r="K29" s="265" t="s">
        <v>66</v>
      </c>
      <c r="L29" s="247" t="s">
        <v>6</v>
      </c>
      <c r="M29" s="346" t="s">
        <v>223</v>
      </c>
      <c r="N29" s="43"/>
    </row>
    <row r="30" spans="1:19" s="29" customFormat="1" ht="18" x14ac:dyDescent="0.25">
      <c r="A30" s="31" t="str">
        <f>EUR!A30</f>
        <v>DOKUMENTACIJA ZA DOVOLJEVANJE</v>
      </c>
      <c r="B30" s="31"/>
      <c r="C30" s="93"/>
      <c r="D30" s="137">
        <f>IF(J4="DA",VLOOKUP($A$30,$O$12:$R$22,4,FALSE)*VLOOKUP($A$30,PODATKI!$A$32:$H$43,2,FALSE)*(100%+PODATKI!$O$13),0)</f>
        <v>680.54399999999998</v>
      </c>
      <c r="E30" s="128"/>
      <c r="F30" s="128">
        <f>IF(J4="DA",VLOOKUP($A$30,$O$12:$R$22,4,FALSE)*VLOOKUP($A$30,PODATKI!$A$32:$H$43,4,FALSE)*(100%+PODATKI!$O$13),0)</f>
        <v>1134.24</v>
      </c>
      <c r="G30" s="128"/>
      <c r="H30" s="132">
        <f>IF(J4="DA",VLOOKUP($A$30,$O$12:$R$22,4,FALSE)*VLOOKUP($A$30,PODATKI!$A$32:$H$43,6,FALSE)*(100%+PODATKI!$O$13),0)</f>
        <v>453.69600000000003</v>
      </c>
      <c r="I30" s="129">
        <f>SUM(D30:H30)</f>
        <v>2268.48</v>
      </c>
      <c r="J30" s="189">
        <f>IF($J$5="DA",VLOOKUP($A$30,$O$12:$R$22,4,FALSE)*VLOOKUP($A$30,PODATKI!$A$32:$H$43,8,FALSE)*(100%+PODATKI!$O$13),0)</f>
        <v>0</v>
      </c>
      <c r="K30" s="266"/>
      <c r="L30" s="129">
        <f>SUM(I30:K30)</f>
        <v>2268.48</v>
      </c>
      <c r="M30" s="130">
        <f>+L30/$L$67*100</f>
        <v>3.2907991314475562</v>
      </c>
      <c r="N30" s="43"/>
    </row>
    <row r="31" spans="1:19" s="29" customFormat="1" ht="18" x14ac:dyDescent="0.25">
      <c r="A31" s="247" t="str">
        <f>EUR!A31</f>
        <v>OSNOVNI NAČRTI</v>
      </c>
      <c r="B31" s="247"/>
      <c r="C31" s="248"/>
      <c r="D31" s="258" t="str">
        <f>EUR!D31</f>
        <v>IDZ</v>
      </c>
      <c r="E31" s="247"/>
      <c r="F31" s="346" t="str">
        <f>EUR!F31</f>
        <v>IDP</v>
      </c>
      <c r="G31" s="247"/>
      <c r="H31" s="411" t="str">
        <f>EUR!H31</f>
        <v>PZI</v>
      </c>
      <c r="I31" s="249" t="s">
        <v>5</v>
      </c>
      <c r="J31" s="264" t="s">
        <v>4</v>
      </c>
      <c r="K31" s="265" t="s">
        <v>66</v>
      </c>
      <c r="L31" s="247" t="s">
        <v>6</v>
      </c>
      <c r="M31" s="346" t="s">
        <v>223</v>
      </c>
      <c r="N31" s="43"/>
    </row>
    <row r="32" spans="1:19" s="29" customFormat="1" ht="18" x14ac:dyDescent="0.25">
      <c r="A32" s="90" t="str">
        <f>EUR!A32</f>
        <v>ARHITEKTURA</v>
      </c>
      <c r="B32" s="90"/>
      <c r="C32" s="150"/>
      <c r="D32" s="151">
        <f>VLOOKUP($A32,$O$12:$R$22,4,FALSE)*VLOOKUP($A32,PODATKI!$A$33:$F$42,2,FALSE)*(100%+PODATKI!$O$12)</f>
        <v>5464.6511999999993</v>
      </c>
      <c r="E32" s="92"/>
      <c r="F32" s="92">
        <f>VLOOKUP($A32,$O$12:$R$22,4,FALSE)*VLOOKUP($A32,PODATKI!$A$33:$F$42,4,FALSE)*(100%+PODATKI!$O$12)</f>
        <v>9563.1395999999968</v>
      </c>
      <c r="G32" s="92"/>
      <c r="H32" s="152">
        <f>VLOOKUP($A32,$O$12:$R$22,4,FALSE)*VLOOKUP($A32,PODATKI!$A$33:$F$42,6,FALSE)*(100%+PODATKI!$O$12)</f>
        <v>12295.465199999997</v>
      </c>
      <c r="I32" s="153">
        <f>SUM(D32:H32)</f>
        <v>27323.255999999994</v>
      </c>
      <c r="J32" s="190">
        <f>IF($J$5="DA",VLOOKUP($A32,$O$12:$R$22,4,FALSE)*VLOOKUP($A32,PODATKI!$A$33:$H$42,8,FALSE)*(100%+PODATKI!$O$12),0)</f>
        <v>0</v>
      </c>
      <c r="K32" s="204">
        <f>I32*0.1</f>
        <v>2732.3255999999997</v>
      </c>
      <c r="L32" s="153">
        <f>SUM(I32:K32)</f>
        <v>30055.581599999994</v>
      </c>
      <c r="M32" s="154">
        <f>+L32/$L$67*100</f>
        <v>43.600508633283582</v>
      </c>
      <c r="N32" s="102"/>
    </row>
    <row r="33" spans="1:15" s="29" customFormat="1" ht="18" x14ac:dyDescent="0.25">
      <c r="A33" s="26" t="str">
        <f>EUR!A33</f>
        <v>KONSTRUKCIJE</v>
      </c>
      <c r="B33" s="26"/>
      <c r="C33" s="28"/>
      <c r="D33" s="155">
        <f>VLOOKUP($A33,$O$12:$R$22,4,FALSE)*VLOOKUP($A33,PODATKI!$A$33:$F$42,2,FALSE)*(100%+PODATKI!$O$12)</f>
        <v>2436.0653414399994</v>
      </c>
      <c r="E33" s="156"/>
      <c r="F33" s="156">
        <f>VLOOKUP($A33,$O$12:$R$22,4,FALSE)*VLOOKUP($A33,PODATKI!$A$33:$F$42,4,FALSE)*(100%+PODATKI!$O$12)</f>
        <v>4263.1143475199988</v>
      </c>
      <c r="G33" s="156"/>
      <c r="H33" s="157">
        <f>VLOOKUP($A33,$O$12:$R$22,4,FALSE)*VLOOKUP($A33,PODATKI!$A$33:$F$42,6,FALSE)*(100%+PODATKI!$O$12)</f>
        <v>5481.1470182399999</v>
      </c>
      <c r="I33" s="158">
        <f>SUM(D33:H33)</f>
        <v>12180.326707199998</v>
      </c>
      <c r="J33" s="191">
        <f>IF($J$5="DA",VLOOKUP($A33,$O$12:$R$22,4,FALSE)*VLOOKUP($A33,PODATKI!$A$33:$H$42,8,FALSE)*(100%+PODATKI!$O$12),0)</f>
        <v>0</v>
      </c>
      <c r="K33" s="205">
        <f t="shared" ref="K33:K36" si="0">I33*0.1</f>
        <v>1218.0326707199999</v>
      </c>
      <c r="L33" s="158">
        <f>SUM(I33:K33)</f>
        <v>13398.359377919998</v>
      </c>
      <c r="M33" s="159">
        <f>+L33/$L$67*100</f>
        <v>19.436499067076348</v>
      </c>
      <c r="N33" s="102"/>
    </row>
    <row r="34" spans="1:15" s="29" customFormat="1" ht="18" x14ac:dyDescent="0.25">
      <c r="A34" s="26" t="str">
        <f>EUR!A34</f>
        <v>STROJNE INSTALACIJE</v>
      </c>
      <c r="B34" s="26"/>
      <c r="C34" s="28"/>
      <c r="D34" s="155">
        <f>VLOOKUP($A34,$O$12:$R$22,4,FALSE)*VLOOKUP($A34,PODATKI!$A$33:$F$42,2,FALSE)*(100%+PODATKI!$O$12)</f>
        <v>1471.7448000000002</v>
      </c>
      <c r="E34" s="156"/>
      <c r="F34" s="156">
        <f>VLOOKUP($A34,$O$12:$R$22,4,FALSE)*VLOOKUP($A34,PODATKI!$A$33:$F$42,4,FALSE)*(100%+PODATKI!$O$12)</f>
        <v>2575.5533999999998</v>
      </c>
      <c r="G34" s="156"/>
      <c r="H34" s="157">
        <f>VLOOKUP($A34,$O$12:$R$22,4,FALSE)*VLOOKUP($A34,PODATKI!$A$33:$F$42,6,FALSE)*(100%+PODATKI!$O$12)</f>
        <v>3311.4258000000004</v>
      </c>
      <c r="I34" s="158">
        <f>SUM(D34:H34)</f>
        <v>7358.7240000000002</v>
      </c>
      <c r="J34" s="191">
        <f>IF($J$5="DA",VLOOKUP($A34,$O$12:$R$22,4,FALSE)*VLOOKUP($A34,PODATKI!$A$33:$H$42,8,FALSE)*(100%+PODATKI!$O$12),0)</f>
        <v>0</v>
      </c>
      <c r="K34" s="205">
        <f t="shared" si="0"/>
        <v>735.87240000000008</v>
      </c>
      <c r="L34" s="158">
        <f>SUM(I34:K34)</f>
        <v>8094.5964000000004</v>
      </c>
      <c r="M34" s="159">
        <f>+L34/$L$67*100</f>
        <v>11.742528390172502</v>
      </c>
      <c r="N34" s="102"/>
    </row>
    <row r="35" spans="1:15" s="29" customFormat="1" ht="18" x14ac:dyDescent="0.25">
      <c r="A35" s="26" t="str">
        <f>EUR!A35</f>
        <v>ELEKTRO INSTALACIJE</v>
      </c>
      <c r="B35" s="26"/>
      <c r="C35" s="28"/>
      <c r="D35" s="155">
        <f>VLOOKUP($A35,$O$12:$R$22,4,FALSE)*VLOOKUP($A35,PODATKI!$A$33:$F$42,2,FALSE)*(100%+PODATKI!$O$12)</f>
        <v>1471.7448000000002</v>
      </c>
      <c r="E35" s="156"/>
      <c r="F35" s="156">
        <f>VLOOKUP($A35,$O$12:$R$22,4,FALSE)*VLOOKUP($A35,PODATKI!$A$33:$F$42,4,FALSE)*(100%+PODATKI!$O$12)</f>
        <v>2575.5533999999998</v>
      </c>
      <c r="G35" s="156"/>
      <c r="H35" s="157">
        <f>VLOOKUP($A35,$O$12:$R$22,4,FALSE)*VLOOKUP($A35,PODATKI!$A$33:$F$42,6,FALSE)*(100%+PODATKI!$O$12)</f>
        <v>3311.4258000000004</v>
      </c>
      <c r="I35" s="158">
        <f>SUM(D35:H35)</f>
        <v>7358.7240000000002</v>
      </c>
      <c r="J35" s="191">
        <f>IF($J$5="DA",VLOOKUP($A35,$O$12:$R$22,4,FALSE)*VLOOKUP($A35,PODATKI!$A$33:$H$42,8,FALSE)*(100%+PODATKI!$O$12),0)</f>
        <v>0</v>
      </c>
      <c r="K35" s="205">
        <f t="shared" si="0"/>
        <v>735.87240000000008</v>
      </c>
      <c r="L35" s="158">
        <f>SUM(I35:K35)</f>
        <v>8094.5964000000004</v>
      </c>
      <c r="M35" s="159">
        <f>+L35/$L$67*100</f>
        <v>11.742528390172502</v>
      </c>
      <c r="N35" s="102"/>
    </row>
    <row r="36" spans="1:15" s="29" customFormat="1" ht="18" x14ac:dyDescent="0.25">
      <c r="A36" s="95" t="str">
        <f>EUR!A36</f>
        <v>POŽAR</v>
      </c>
      <c r="B36" s="95"/>
      <c r="C36" s="96"/>
      <c r="D36" s="97">
        <f>VLOOKUP($A36,$O$12:$R$22,4,FALSE)*VLOOKUP($A36,PODATKI!$A$33:$F$42,2,FALSE)*(100%+PODATKI!$O$12)</f>
        <v>112.34280000000007</v>
      </c>
      <c r="E36" s="98"/>
      <c r="F36" s="98">
        <f>VLOOKUP($A36,$O$12:$R$22,4,FALSE)*VLOOKUP($A36,PODATKI!$A$33:$F$42,4,FALSE)*(100%+PODATKI!$O$12)</f>
        <v>196.59990000000008</v>
      </c>
      <c r="G36" s="98"/>
      <c r="H36" s="99">
        <f>VLOOKUP($A36,$O$12:$R$22,4,FALSE)*VLOOKUP($A36,PODATKI!$A$33:$F$42,6,FALSE)*(100%+PODATKI!$O$12)</f>
        <v>252.77130000000014</v>
      </c>
      <c r="I36" s="100">
        <f>SUM(D36:H36)</f>
        <v>561.71400000000028</v>
      </c>
      <c r="J36" s="192">
        <f>IF($J$5="DA",VLOOKUP($A36,$O$12:$R$22,4,FALSE)*VLOOKUP($A36,PODATKI!$A$33:$H$42,8,FALSE)*(100%+PODATKI!$O$12),0)</f>
        <v>0</v>
      </c>
      <c r="K36" s="206">
        <f t="shared" si="0"/>
        <v>56.171400000000034</v>
      </c>
      <c r="L36" s="100">
        <f>SUM(I36:K36)</f>
        <v>617.88540000000035</v>
      </c>
      <c r="M36" s="101">
        <f>+L36/$L$67*100</f>
        <v>0.89634325083497635</v>
      </c>
      <c r="N36" s="43"/>
    </row>
    <row r="37" spans="1:15" s="39" customFormat="1" ht="18" x14ac:dyDescent="0.25">
      <c r="B37" s="62"/>
      <c r="C37" s="131" t="s">
        <v>6</v>
      </c>
      <c r="D37" s="128">
        <f>SUM(D32:D36)</f>
        <v>10956.54894144</v>
      </c>
      <c r="E37" s="128"/>
      <c r="F37" s="128">
        <f t="shared" ref="F37" si="1">SUM(F32:F36)</f>
        <v>19173.960647519998</v>
      </c>
      <c r="G37" s="128"/>
      <c r="H37" s="132">
        <f t="shared" ref="H37:M37" si="2">SUM(H32:H36)</f>
        <v>24652.235118239998</v>
      </c>
      <c r="I37" s="129">
        <f t="shared" si="2"/>
        <v>54782.7447072</v>
      </c>
      <c r="J37" s="189">
        <f t="shared" si="2"/>
        <v>0</v>
      </c>
      <c r="K37" s="207">
        <f t="shared" si="2"/>
        <v>5478.27447072</v>
      </c>
      <c r="L37" s="129">
        <f t="shared" si="2"/>
        <v>60261.019177919996</v>
      </c>
      <c r="M37" s="130">
        <f t="shared" si="2"/>
        <v>87.418407731539901</v>
      </c>
      <c r="N37" s="31"/>
    </row>
    <row r="38" spans="1:15" s="29" customFormat="1" ht="18" x14ac:dyDescent="0.25">
      <c r="A38" s="247" t="str">
        <f>EUR!A38</f>
        <v>OSNOVNE ŠTUDIJE IN IZKAZI</v>
      </c>
      <c r="B38" s="247"/>
      <c r="C38" s="248"/>
      <c r="D38" s="258" t="s">
        <v>1</v>
      </c>
      <c r="E38" s="247"/>
      <c r="F38" s="346" t="s">
        <v>2</v>
      </c>
      <c r="G38" s="247"/>
      <c r="H38" s="411" t="s">
        <v>3</v>
      </c>
      <c r="I38" s="249" t="s">
        <v>5</v>
      </c>
      <c r="J38" s="264" t="s">
        <v>4</v>
      </c>
      <c r="K38" s="265" t="s">
        <v>66</v>
      </c>
      <c r="L38" s="247" t="s">
        <v>6</v>
      </c>
      <c r="M38" s="346" t="s">
        <v>223</v>
      </c>
      <c r="N38" s="43"/>
    </row>
    <row r="39" spans="1:15" s="29" customFormat="1" ht="18" x14ac:dyDescent="0.25">
      <c r="A39" s="32" t="str">
        <f>EUR!A39</f>
        <v>TOPLOTNA ZAŠČITA</v>
      </c>
      <c r="B39" s="90"/>
      <c r="C39" s="150"/>
      <c r="D39" s="151">
        <f>VLOOKUP($A39,$O$12:$R$22,4,FALSE)*VLOOKUP($A39,PODATKI!$A$33:$F$42,2,FALSE)*(100%+PODATKI!$O$13)</f>
        <v>8.2152000000000012</v>
      </c>
      <c r="E39" s="92"/>
      <c r="F39" s="92">
        <f>VLOOKUP($A39,$O$12:$R$22,4,FALSE)*VLOOKUP($A39,PODATKI!$A$33:$F$42,4,FALSE)*(100%+PODATKI!$O$13)</f>
        <v>14.376600000000002</v>
      </c>
      <c r="G39" s="92"/>
      <c r="H39" s="152">
        <f>VLOOKUP($A39,$O$12:$R$22,4,FALSE)*VLOOKUP($A39,PODATKI!$A$33:$F$42,6,FALSE)*(100%+PODATKI!$O$13)</f>
        <v>18.484200000000001</v>
      </c>
      <c r="I39" s="153">
        <f>SUM(D39:H39)</f>
        <v>41.076000000000008</v>
      </c>
      <c r="J39" s="190">
        <f>IF($J$4="DA",VLOOKUP($A39,$O$12:$R$22,4,FALSE)*VLOOKUP($A39,PODATKI!$A$33:$H$42,8,FALSE)*(100%+PODATKI!$O$13),0)</f>
        <v>4.1076000000000006</v>
      </c>
      <c r="K39" s="204"/>
      <c r="L39" s="153">
        <f>SUM(I39:K39)</f>
        <v>45.183600000000006</v>
      </c>
      <c r="M39" s="154">
        <f>+L39/$L$67*100</f>
        <v>6.5546159382350214E-2</v>
      </c>
      <c r="N39" s="31"/>
      <c r="O39" s="39"/>
    </row>
    <row r="40" spans="1:15" s="29" customFormat="1" ht="18" x14ac:dyDescent="0.25">
      <c r="A40" s="271" t="str">
        <f>EUR!A40</f>
        <v>HRUP</v>
      </c>
      <c r="B40" s="95"/>
      <c r="C40" s="96"/>
      <c r="D40" s="97">
        <f>VLOOKUP($A40,$O$12:$R$22,4,FALSE)*VLOOKUP($A40,PODATKI!$A$33:$F$42,2,FALSE)</f>
        <v>186.09460000000004</v>
      </c>
      <c r="E40" s="98"/>
      <c r="F40" s="98">
        <f>VLOOKUP($A40,$O$12:$R$22,4,FALSE)*VLOOKUP($A40,PODATKI!$A$33:$F$42,4,FALSE)</f>
        <v>325.66555000000005</v>
      </c>
      <c r="G40" s="98"/>
      <c r="H40" s="99">
        <f>VLOOKUP($A40,$O$12:$R$22,4,FALSE)*VLOOKUP($A40,PODATKI!$A$33:$F$42,6,FALSE)</f>
        <v>418.71285000000012</v>
      </c>
      <c r="I40" s="100">
        <f>SUM(D40:H40)</f>
        <v>930.47300000000018</v>
      </c>
      <c r="J40" s="192">
        <f>IF($J$4="DA",VLOOKUP($A40,$O$12:$R$22,4,FALSE)*VLOOKUP($A40,PODATKI!$A$33:$H$42,8,FALSE),0)</f>
        <v>93.047300000000021</v>
      </c>
      <c r="K40" s="206"/>
      <c r="L40" s="100">
        <f>SUM(I40:K40)</f>
        <v>1023.5203000000002</v>
      </c>
      <c r="M40" s="101">
        <f>+L40/$L$67*100</f>
        <v>1.4847826360642118</v>
      </c>
      <c r="N40" s="31"/>
      <c r="O40" s="39"/>
    </row>
    <row r="41" spans="1:15" s="39" customFormat="1" ht="18" x14ac:dyDescent="0.25">
      <c r="B41" s="62"/>
      <c r="C41" s="131" t="s">
        <v>6</v>
      </c>
      <c r="D41" s="137">
        <f>SUM(D39:D40)</f>
        <v>194.30980000000005</v>
      </c>
      <c r="E41" s="128"/>
      <c r="F41" s="128">
        <f>SUM(F39:F40)</f>
        <v>340.04215000000005</v>
      </c>
      <c r="G41" s="128"/>
      <c r="H41" s="132">
        <f>SUM(H39:H40)</f>
        <v>437.1970500000001</v>
      </c>
      <c r="I41" s="129">
        <f>SUM(I39:I40)</f>
        <v>971.54900000000021</v>
      </c>
      <c r="J41" s="189">
        <f>SUM(J39:J40)</f>
        <v>97.154900000000026</v>
      </c>
      <c r="K41" s="207"/>
      <c r="L41" s="129">
        <f>SUM(L39:L40)</f>
        <v>1068.7039000000002</v>
      </c>
      <c r="M41" s="130">
        <f>SUM(M39:M40)</f>
        <v>1.5503287954465621</v>
      </c>
      <c r="N41" s="31"/>
    </row>
    <row r="42" spans="1:15" s="29" customFormat="1" ht="18" x14ac:dyDescent="0.25">
      <c r="A42" s="247" t="str">
        <f>EUR!A42</f>
        <v>DODATNI NAČRTI IN ELABORATI</v>
      </c>
      <c r="B42" s="247"/>
      <c r="C42" s="248"/>
      <c r="D42" s="258" t="s">
        <v>1</v>
      </c>
      <c r="E42" s="247"/>
      <c r="F42" s="346" t="s">
        <v>2</v>
      </c>
      <c r="G42" s="247"/>
      <c r="H42" s="411" t="s">
        <v>3</v>
      </c>
      <c r="I42" s="249" t="s">
        <v>5</v>
      </c>
      <c r="J42" s="264" t="s">
        <v>4</v>
      </c>
      <c r="K42" s="265" t="s">
        <v>66</v>
      </c>
      <c r="L42" s="247" t="s">
        <v>6</v>
      </c>
      <c r="M42" s="346" t="s">
        <v>223</v>
      </c>
      <c r="N42" s="43"/>
    </row>
    <row r="43" spans="1:15" s="29" customFormat="1" ht="18" x14ac:dyDescent="0.25">
      <c r="A43" s="32" t="str">
        <f>EUR!A43</f>
        <v>TEHNOLOŠKI NAČRTI</v>
      </c>
      <c r="B43" s="32"/>
      <c r="C43" s="259"/>
      <c r="D43" s="151"/>
      <c r="E43" s="92"/>
      <c r="F43" s="92"/>
      <c r="G43" s="92"/>
      <c r="H43" s="152"/>
      <c r="I43" s="153">
        <f>SUM(D43:H43)</f>
        <v>0</v>
      </c>
      <c r="J43" s="190"/>
      <c r="K43" s="204"/>
      <c r="L43" s="153">
        <f t="shared" ref="L43:L50" si="3">SUM(I43:K43)</f>
        <v>0</v>
      </c>
      <c r="M43" s="154">
        <f t="shared" ref="M43:M50" si="4">+L43/$L$67*100</f>
        <v>0</v>
      </c>
      <c r="N43" s="31"/>
      <c r="O43" s="39"/>
    </row>
    <row r="44" spans="1:15" s="29" customFormat="1" ht="18" x14ac:dyDescent="0.25">
      <c r="A44" s="160" t="str">
        <f>EUR!A44</f>
        <v>AKUSTIKA PROSTOROV</v>
      </c>
      <c r="B44" s="160"/>
      <c r="C44" s="260"/>
      <c r="D44" s="255"/>
      <c r="E44" s="26"/>
      <c r="F44" s="156"/>
      <c r="G44" s="156"/>
      <c r="H44" s="157"/>
      <c r="I44" s="158">
        <f t="shared" ref="I44:I50" si="5">SUM(D44:H44)</f>
        <v>0</v>
      </c>
      <c r="J44" s="191"/>
      <c r="K44" s="205"/>
      <c r="L44" s="158">
        <f t="shared" si="3"/>
        <v>0</v>
      </c>
      <c r="M44" s="159">
        <f t="shared" si="4"/>
        <v>0</v>
      </c>
      <c r="N44" s="31"/>
      <c r="O44" s="39"/>
    </row>
    <row r="45" spans="1:15" s="29" customFormat="1" ht="18" x14ac:dyDescent="0.25">
      <c r="A45" s="160" t="str">
        <f>EUR!A45</f>
        <v>NGGO</v>
      </c>
      <c r="B45" s="26"/>
      <c r="C45" s="260"/>
      <c r="D45" s="255"/>
      <c r="E45" s="26"/>
      <c r="F45" s="156"/>
      <c r="G45" s="156"/>
      <c r="H45" s="157"/>
      <c r="I45" s="158">
        <f t="shared" si="5"/>
        <v>0</v>
      </c>
      <c r="J45" s="191"/>
      <c r="K45" s="205"/>
      <c r="L45" s="158">
        <f t="shared" si="3"/>
        <v>0</v>
      </c>
      <c r="M45" s="159">
        <f t="shared" si="4"/>
        <v>0</v>
      </c>
      <c r="N45" s="31"/>
      <c r="O45" s="39"/>
    </row>
    <row r="46" spans="1:15" s="29" customFormat="1" ht="18" x14ac:dyDescent="0.25">
      <c r="A46" s="160" t="str">
        <f>EUR!A46</f>
        <v>PRESOJA VPLIVOV NA OKOLJE</v>
      </c>
      <c r="B46" s="160"/>
      <c r="C46" s="28"/>
      <c r="D46" s="155"/>
      <c r="E46" s="156"/>
      <c r="F46" s="156"/>
      <c r="G46" s="156"/>
      <c r="H46" s="157"/>
      <c r="I46" s="158">
        <f t="shared" si="5"/>
        <v>0</v>
      </c>
      <c r="J46" s="267"/>
      <c r="K46" s="268"/>
      <c r="L46" s="158">
        <f t="shared" si="3"/>
        <v>0</v>
      </c>
      <c r="M46" s="159">
        <f t="shared" si="4"/>
        <v>0</v>
      </c>
      <c r="N46" s="31"/>
      <c r="O46" s="39"/>
    </row>
    <row r="47" spans="1:15" s="29" customFormat="1" ht="18" x14ac:dyDescent="0.25">
      <c r="A47" s="160" t="str">
        <f>EUR!A47</f>
        <v>VODOVODNI PRIKLJUČEK</v>
      </c>
      <c r="B47" s="26"/>
      <c r="C47" s="28"/>
      <c r="D47" s="155"/>
      <c r="E47" s="156"/>
      <c r="F47" s="156"/>
      <c r="G47" s="156"/>
      <c r="H47" s="157"/>
      <c r="I47" s="158">
        <f t="shared" si="5"/>
        <v>0</v>
      </c>
      <c r="J47" s="267"/>
      <c r="K47" s="268"/>
      <c r="L47" s="158">
        <f t="shared" si="3"/>
        <v>0</v>
      </c>
      <c r="M47" s="159">
        <f t="shared" si="4"/>
        <v>0</v>
      </c>
      <c r="N47" s="31"/>
      <c r="O47" s="39"/>
    </row>
    <row r="48" spans="1:15" s="29" customFormat="1" ht="18" x14ac:dyDescent="0.25">
      <c r="A48" s="261" t="str">
        <f>EUR!A48</f>
        <v>KANALIZACIJSKI PRIKLJUČEK</v>
      </c>
      <c r="B48" s="26"/>
      <c r="C48" s="28"/>
      <c r="D48" s="155"/>
      <c r="E48" s="156"/>
      <c r="F48" s="156"/>
      <c r="G48" s="156"/>
      <c r="H48" s="157"/>
      <c r="I48" s="158">
        <f t="shared" si="5"/>
        <v>0</v>
      </c>
      <c r="J48" s="267"/>
      <c r="K48" s="268"/>
      <c r="L48" s="158">
        <f t="shared" si="3"/>
        <v>0</v>
      </c>
      <c r="M48" s="262">
        <f t="shared" si="4"/>
        <v>0</v>
      </c>
      <c r="N48" s="31"/>
      <c r="O48" s="39"/>
    </row>
    <row r="49" spans="1:15" s="29" customFormat="1" ht="18" x14ac:dyDescent="0.25">
      <c r="A49" s="160" t="str">
        <f>EUR!A49</f>
        <v>ELEKTRO PRIKLJUČEK</v>
      </c>
      <c r="B49" s="26"/>
      <c r="C49" s="28"/>
      <c r="D49" s="155"/>
      <c r="E49" s="156"/>
      <c r="F49" s="156"/>
      <c r="G49" s="156"/>
      <c r="H49" s="157"/>
      <c r="I49" s="158">
        <f t="shared" si="5"/>
        <v>0</v>
      </c>
      <c r="J49" s="267"/>
      <c r="K49" s="268"/>
      <c r="L49" s="158">
        <f t="shared" si="3"/>
        <v>0</v>
      </c>
      <c r="M49" s="159">
        <f t="shared" si="4"/>
        <v>0</v>
      </c>
      <c r="N49" s="31"/>
      <c r="O49" s="39"/>
    </row>
    <row r="50" spans="1:15" s="29" customFormat="1" ht="18" x14ac:dyDescent="0.25">
      <c r="A50" s="105">
        <f>EUR!A50</f>
        <v>0</v>
      </c>
      <c r="B50" s="95"/>
      <c r="C50" s="96"/>
      <c r="D50" s="97"/>
      <c r="E50" s="98"/>
      <c r="F50" s="98"/>
      <c r="G50" s="98"/>
      <c r="H50" s="99"/>
      <c r="I50" s="100">
        <f t="shared" si="5"/>
        <v>0</v>
      </c>
      <c r="J50" s="269"/>
      <c r="K50" s="270"/>
      <c r="L50" s="100">
        <f t="shared" si="3"/>
        <v>0</v>
      </c>
      <c r="M50" s="101">
        <f t="shared" si="4"/>
        <v>0</v>
      </c>
      <c r="N50" s="31"/>
      <c r="O50" s="39"/>
    </row>
    <row r="51" spans="1:15" s="39" customFormat="1" ht="18" x14ac:dyDescent="0.25">
      <c r="B51" s="62"/>
      <c r="C51" s="131" t="s">
        <v>6</v>
      </c>
      <c r="D51" s="137">
        <f>SUM(D43:D50)</f>
        <v>0</v>
      </c>
      <c r="E51" s="128"/>
      <c r="F51" s="128">
        <f>SUM(F43:F50)</f>
        <v>0</v>
      </c>
      <c r="G51" s="128"/>
      <c r="H51" s="132">
        <f>SUM(H43:H50)</f>
        <v>0</v>
      </c>
      <c r="I51" s="129">
        <f>SUM(I43:I50)</f>
        <v>0</v>
      </c>
      <c r="J51" s="189">
        <f t="shared" ref="J51:K51" si="6">SUM(J43:J50)</f>
        <v>0</v>
      </c>
      <c r="K51" s="207">
        <f t="shared" si="6"/>
        <v>0</v>
      </c>
      <c r="L51" s="129">
        <f>SUM(L43:L50)</f>
        <v>0</v>
      </c>
      <c r="M51" s="130">
        <f>SUM(M43:M50)</f>
        <v>0</v>
      </c>
      <c r="N51" s="31"/>
    </row>
    <row r="52" spans="1:15" s="29" customFormat="1" ht="18" x14ac:dyDescent="0.25">
      <c r="A52" s="247" t="str">
        <f>EUR!A52</f>
        <v>UREDITEV POVRŠIN</v>
      </c>
      <c r="B52" s="247"/>
      <c r="C52" s="248"/>
      <c r="D52" s="258" t="s">
        <v>1</v>
      </c>
      <c r="E52" s="247"/>
      <c r="F52" s="346" t="s">
        <v>2</v>
      </c>
      <c r="G52" s="247"/>
      <c r="H52" s="411" t="s">
        <v>3</v>
      </c>
      <c r="I52" s="249" t="s">
        <v>5</v>
      </c>
      <c r="J52" s="264" t="s">
        <v>4</v>
      </c>
      <c r="K52" s="265" t="s">
        <v>66</v>
      </c>
      <c r="L52" s="247" t="s">
        <v>6</v>
      </c>
      <c r="M52" s="346" t="s">
        <v>223</v>
      </c>
      <c r="N52" s="43"/>
    </row>
    <row r="53" spans="1:15" s="29" customFormat="1" ht="18" x14ac:dyDescent="0.25">
      <c r="A53" s="31" t="str">
        <f>EUR!A53</f>
        <v>UREDITEV POVRŠIN</v>
      </c>
      <c r="B53" s="31"/>
      <c r="C53" s="131"/>
      <c r="D53" s="137">
        <f>VLOOKUP($A$53,$O$12:$R$22,4,FALSE)*VLOOKUP($A$53,PODATKI!$A$32:$F$41,2,FALSE)</f>
        <v>0</v>
      </c>
      <c r="E53" s="128"/>
      <c r="F53" s="128">
        <f>VLOOKUP($A$53,$O$12:$R$22,4,FALSE)*VLOOKUP($A$53,PODATKI!$A$32:$F$41,4,FALSE)</f>
        <v>0</v>
      </c>
      <c r="G53" s="128"/>
      <c r="H53" s="132">
        <f>VLOOKUP($A$53,$O$12:$R$22,4,FALSE)*VLOOKUP($A$53,PODATKI!$A$32:$F$41,6,FALSE)</f>
        <v>0</v>
      </c>
      <c r="I53" s="129">
        <f>SUM(D53:H53)</f>
        <v>0</v>
      </c>
      <c r="J53" s="189">
        <f>I53*0.1</f>
        <v>0</v>
      </c>
      <c r="K53" s="207">
        <f>I53*0.1</f>
        <v>0</v>
      </c>
      <c r="L53" s="129">
        <f>SUM(I53:K53)</f>
        <v>0</v>
      </c>
      <c r="M53" s="130">
        <f>+L53/$L$67*100</f>
        <v>0</v>
      </c>
      <c r="N53" s="43"/>
    </row>
    <row r="54" spans="1:15" s="29" customFormat="1" ht="18" x14ac:dyDescent="0.25">
      <c r="A54" s="247" t="str">
        <f>EUR!A54</f>
        <v>NOTRANJA OPREMA</v>
      </c>
      <c r="B54" s="247"/>
      <c r="C54" s="248"/>
      <c r="D54" s="258" t="s">
        <v>1</v>
      </c>
      <c r="E54" s="247"/>
      <c r="F54" s="346" t="s">
        <v>2</v>
      </c>
      <c r="G54" s="247"/>
      <c r="H54" s="411" t="s">
        <v>3</v>
      </c>
      <c r="I54" s="249" t="s">
        <v>5</v>
      </c>
      <c r="J54" s="264" t="s">
        <v>4</v>
      </c>
      <c r="K54" s="265" t="s">
        <v>66</v>
      </c>
      <c r="L54" s="247" t="s">
        <v>6</v>
      </c>
      <c r="M54" s="346" t="s">
        <v>223</v>
      </c>
      <c r="N54" s="43"/>
    </row>
    <row r="55" spans="1:15" s="29" customFormat="1" ht="18" x14ac:dyDescent="0.25">
      <c r="A55" s="31" t="str">
        <f>EUR!A55</f>
        <v>NOTRANJA OPREMA</v>
      </c>
      <c r="B55" s="31"/>
      <c r="C55" s="131"/>
      <c r="D55" s="137">
        <f>VLOOKUP($A$55,$O$12:$R$22,4,FALSE)*VLOOKUP($A$55,PODATKI!$A$32:$F$42,2,FALSE)</f>
        <v>0</v>
      </c>
      <c r="E55" s="128"/>
      <c r="F55" s="128">
        <f>VLOOKUP($A$55,$O$12:$R$22,4,FALSE)*VLOOKUP($A$55,PODATKI!$A$32:$F$42,4,FALSE)</f>
        <v>0</v>
      </c>
      <c r="G55" s="128"/>
      <c r="H55" s="132">
        <f>VLOOKUP($A$55,$O$12:$R$22,4,FALSE)*VLOOKUP($A$55,PODATKI!$A$32:$F$42,6,FALSE)</f>
        <v>0</v>
      </c>
      <c r="I55" s="129">
        <f>SUM(D55:H55)</f>
        <v>0</v>
      </c>
      <c r="J55" s="189">
        <f>I55*0.1</f>
        <v>0</v>
      </c>
      <c r="K55" s="207">
        <f>I55*0.1</f>
        <v>0</v>
      </c>
      <c r="L55" s="129">
        <f>SUM(I55:K55)</f>
        <v>0</v>
      </c>
      <c r="M55" s="130">
        <f>+L55/$L$67*100</f>
        <v>0</v>
      </c>
      <c r="N55" s="43"/>
    </row>
    <row r="56" spans="1:15" s="29" customFormat="1" ht="18" x14ac:dyDescent="0.25">
      <c r="A56" s="247" t="str">
        <f>EUR!A56</f>
        <v>DRUGO</v>
      </c>
      <c r="B56" s="247"/>
      <c r="C56" s="248"/>
      <c r="D56" s="258" t="s">
        <v>1</v>
      </c>
      <c r="E56" s="247"/>
      <c r="F56" s="346" t="s">
        <v>2</v>
      </c>
      <c r="G56" s="247"/>
      <c r="H56" s="411" t="s">
        <v>3</v>
      </c>
      <c r="I56" s="249" t="s">
        <v>5</v>
      </c>
      <c r="J56" s="264" t="s">
        <v>4</v>
      </c>
      <c r="K56" s="265" t="s">
        <v>66</v>
      </c>
      <c r="L56" s="247" t="s">
        <v>6</v>
      </c>
      <c r="M56" s="346" t="s">
        <v>223</v>
      </c>
      <c r="N56" s="43"/>
    </row>
    <row r="57" spans="1:15" s="29" customFormat="1" ht="18" x14ac:dyDescent="0.25">
      <c r="A57" s="32"/>
      <c r="B57" s="90"/>
      <c r="C57" s="168"/>
      <c r="D57" s="151"/>
      <c r="E57" s="92"/>
      <c r="F57" s="92"/>
      <c r="G57" s="92"/>
      <c r="H57" s="152"/>
      <c r="I57" s="153"/>
      <c r="J57" s="190"/>
      <c r="K57" s="204"/>
      <c r="L57" s="153"/>
      <c r="M57" s="154"/>
      <c r="N57" s="31"/>
      <c r="O57" s="39"/>
    </row>
    <row r="58" spans="1:15" s="29" customFormat="1" ht="18" x14ac:dyDescent="0.25">
      <c r="A58" s="160" t="str">
        <f>EUR!A58</f>
        <v>POSNETEK OBSTOJEČEGA STANJA</v>
      </c>
      <c r="B58" s="160"/>
      <c r="C58" s="52"/>
      <c r="D58" s="263"/>
      <c r="E58" s="160"/>
      <c r="F58" s="156"/>
      <c r="G58" s="156"/>
      <c r="H58" s="157"/>
      <c r="I58" s="158"/>
      <c r="J58" s="191"/>
      <c r="K58" s="205"/>
      <c r="L58" s="158">
        <f>SUM(I58:K58)</f>
        <v>0</v>
      </c>
      <c r="M58" s="159">
        <f>+L58/$L$67*100</f>
        <v>0</v>
      </c>
      <c r="N58" s="31"/>
      <c r="O58" s="39"/>
    </row>
    <row r="59" spans="1:15" s="29" customFormat="1" ht="18" x14ac:dyDescent="0.25">
      <c r="A59" s="26">
        <f>EUR!A59</f>
        <v>0</v>
      </c>
      <c r="B59" s="26"/>
      <c r="C59" s="23"/>
      <c r="D59" s="155"/>
      <c r="E59" s="156"/>
      <c r="F59" s="156"/>
      <c r="G59" s="26"/>
      <c r="H59" s="157"/>
      <c r="I59" s="158">
        <f>SUM(F59:H59)</f>
        <v>0</v>
      </c>
      <c r="J59" s="191"/>
      <c r="K59" s="205"/>
      <c r="L59" s="158">
        <f>SUM(I59:K59)</f>
        <v>0</v>
      </c>
      <c r="M59" s="159">
        <f>+L59/$L$67*100</f>
        <v>0</v>
      </c>
      <c r="N59" s="31"/>
      <c r="O59" s="39"/>
    </row>
    <row r="60" spans="1:15" s="29" customFormat="1" ht="18" x14ac:dyDescent="0.25">
      <c r="A60" s="26">
        <f>EUR!A60</f>
        <v>0</v>
      </c>
      <c r="B60" s="26"/>
      <c r="C60" s="28"/>
      <c r="D60" s="155"/>
      <c r="E60" s="156"/>
      <c r="F60" s="156"/>
      <c r="G60" s="156"/>
      <c r="H60" s="157"/>
      <c r="I60" s="158">
        <f t="shared" ref="I60:I61" si="7">SUM(D60:H60)</f>
        <v>0</v>
      </c>
      <c r="J60" s="267"/>
      <c r="K60" s="268"/>
      <c r="L60" s="158">
        <f>SUM(I60:K60)</f>
        <v>0</v>
      </c>
      <c r="M60" s="159">
        <f>+L60/$L$67*100</f>
        <v>0</v>
      </c>
      <c r="N60" s="31"/>
      <c r="O60" s="39"/>
    </row>
    <row r="61" spans="1:15" s="29" customFormat="1" ht="18" x14ac:dyDescent="0.25">
      <c r="A61" s="95">
        <f>EUR!A61</f>
        <v>0</v>
      </c>
      <c r="B61" s="95"/>
      <c r="C61" s="96"/>
      <c r="D61" s="97"/>
      <c r="E61" s="98"/>
      <c r="F61" s="98"/>
      <c r="G61" s="98"/>
      <c r="H61" s="99"/>
      <c r="I61" s="100">
        <f t="shared" si="7"/>
        <v>0</v>
      </c>
      <c r="J61" s="269"/>
      <c r="K61" s="270"/>
      <c r="L61" s="100">
        <f>SUM(I61:K61)</f>
        <v>0</v>
      </c>
      <c r="M61" s="101">
        <f>+L61/$L$67*100</f>
        <v>0</v>
      </c>
      <c r="N61" s="31"/>
      <c r="O61" s="39"/>
    </row>
    <row r="62" spans="1:15" s="39" customFormat="1" ht="18" x14ac:dyDescent="0.25">
      <c r="A62" s="62"/>
      <c r="B62" s="62"/>
      <c r="C62" s="131"/>
      <c r="D62" s="137">
        <f>SUM(D58:D61)</f>
        <v>0</v>
      </c>
      <c r="E62" s="128"/>
      <c r="F62" s="128">
        <f>SUM(F58:F61)</f>
        <v>0</v>
      </c>
      <c r="G62" s="128"/>
      <c r="H62" s="132">
        <f>SUM(H58:H61)</f>
        <v>0</v>
      </c>
      <c r="I62" s="129">
        <f>SUM(I58:I61)</f>
        <v>0</v>
      </c>
      <c r="J62" s="189">
        <f t="shared" ref="J62:L62" si="8">SUM(J58:J61)</f>
        <v>0</v>
      </c>
      <c r="K62" s="207">
        <f t="shared" si="8"/>
        <v>0</v>
      </c>
      <c r="L62" s="129">
        <f t="shared" si="8"/>
        <v>0</v>
      </c>
      <c r="M62" s="130">
        <f>SUM(M58:M61)</f>
        <v>0</v>
      </c>
      <c r="N62" s="31"/>
    </row>
    <row r="63" spans="1:15" s="29" customFormat="1" ht="18" x14ac:dyDescent="0.25">
      <c r="A63" s="247" t="str">
        <f>EUR!A63</f>
        <v>SKUPAJ PROJEKTNA DOKUMENTACIJA</v>
      </c>
      <c r="B63" s="247"/>
      <c r="C63" s="248"/>
      <c r="D63" s="258" t="s">
        <v>1</v>
      </c>
      <c r="E63" s="247"/>
      <c r="F63" s="346" t="s">
        <v>2</v>
      </c>
      <c r="G63" s="346"/>
      <c r="H63" s="411" t="s">
        <v>3</v>
      </c>
      <c r="I63" s="249" t="s">
        <v>5</v>
      </c>
      <c r="J63" s="264" t="s">
        <v>4</v>
      </c>
      <c r="K63" s="265" t="s">
        <v>66</v>
      </c>
      <c r="L63" s="247" t="s">
        <v>6</v>
      </c>
      <c r="M63" s="346" t="s">
        <v>223</v>
      </c>
      <c r="N63" s="43"/>
    </row>
    <row r="64" spans="1:15" s="39" customFormat="1" ht="18" x14ac:dyDescent="0.25">
      <c r="A64" s="62"/>
      <c r="B64" s="62"/>
      <c r="C64" s="131"/>
      <c r="D64" s="137">
        <f>D30+D37+D41+D51+D53+D55+D62</f>
        <v>11831.402741440001</v>
      </c>
      <c r="E64" s="128"/>
      <c r="F64" s="128">
        <f>F30+F37+F41+F51+F53+F55+F62</f>
        <v>20648.242797520001</v>
      </c>
      <c r="G64" s="128"/>
      <c r="H64" s="132">
        <f t="shared" ref="H64:M64" si="9">H30+H37+H41+H51+H53+H55+H62</f>
        <v>25543.128168239997</v>
      </c>
      <c r="I64" s="129">
        <f t="shared" si="9"/>
        <v>58022.773707200002</v>
      </c>
      <c r="J64" s="189">
        <f t="shared" si="9"/>
        <v>97.154900000000026</v>
      </c>
      <c r="K64" s="207">
        <f t="shared" si="9"/>
        <v>5478.27447072</v>
      </c>
      <c r="L64" s="129">
        <f t="shared" si="9"/>
        <v>63598.203077919999</v>
      </c>
      <c r="M64" s="130">
        <f t="shared" si="9"/>
        <v>92.259535658434018</v>
      </c>
      <c r="N64" s="31"/>
    </row>
    <row r="65" spans="1:15" s="29" customFormat="1" ht="18" x14ac:dyDescent="0.25">
      <c r="A65" s="247" t="str">
        <f>EUR!A65</f>
        <v>ODGOVORNO VODENJE</v>
      </c>
      <c r="B65" s="247"/>
      <c r="C65" s="248"/>
      <c r="D65" s="258" t="s">
        <v>1</v>
      </c>
      <c r="E65" s="247"/>
      <c r="F65" s="346" t="s">
        <v>2</v>
      </c>
      <c r="G65" s="346"/>
      <c r="H65" s="411" t="s">
        <v>3</v>
      </c>
      <c r="I65" s="249" t="s">
        <v>5</v>
      </c>
      <c r="J65" s="264" t="s">
        <v>4</v>
      </c>
      <c r="K65" s="265" t="s">
        <v>66</v>
      </c>
      <c r="L65" s="247" t="s">
        <v>6</v>
      </c>
      <c r="M65" s="346" t="s">
        <v>223</v>
      </c>
      <c r="N65" s="43"/>
    </row>
    <row r="66" spans="1:15" s="29" customFormat="1" ht="18" x14ac:dyDescent="0.25">
      <c r="A66" s="105" t="str">
        <f>EUR!A66</f>
        <v>ODGOVORNO VODENJE</v>
      </c>
      <c r="B66" s="95"/>
      <c r="C66" s="272"/>
      <c r="D66" s="135">
        <f>VLOOKUP($A66,$O$12:$R$22,4,FALSE)*VLOOKUP($A66,PODATKI!$A$33:$F$42,2,FALSE)</f>
        <v>970.14780512000004</v>
      </c>
      <c r="E66" s="135"/>
      <c r="F66" s="135">
        <f>VLOOKUP($A66,$O$12:$R$22,4,FALSE)*VLOOKUP($A66,PODATKI!$A$33:$F$42,4,FALSE)</f>
        <v>1697.7586589599998</v>
      </c>
      <c r="G66" s="135"/>
      <c r="H66" s="174">
        <f>VLOOKUP($A66,$O$12:$R$22,4,FALSE)*VLOOKUP($A66,PODATKI!$A$33:$F$42,6,FALSE)</f>
        <v>2182.8325615200001</v>
      </c>
      <c r="I66" s="175">
        <f>SUM(D66:H66)</f>
        <v>4850.7390255999999</v>
      </c>
      <c r="J66" s="200">
        <f>IF($J$4="DA",VLOOKUP($A66,$O$12:$R$22,4,FALSE)*VLOOKUP($A66,PODATKI!$A$33:$H$42,8,FALSE),0)</f>
        <v>485.07390256000002</v>
      </c>
      <c r="K66" s="217"/>
      <c r="L66" s="175">
        <f>SUM(I66:K66)</f>
        <v>5335.8129281599995</v>
      </c>
      <c r="M66" s="176">
        <f>+L66/$L$67*100</f>
        <v>7.7404643415659686</v>
      </c>
      <c r="N66" s="43"/>
    </row>
    <row r="67" spans="1:15" s="29" customFormat="1" ht="19.5" x14ac:dyDescent="0.25">
      <c r="A67" s="177" t="str">
        <f>EUR!A67</f>
        <v>SKUPAJ PROJEKT</v>
      </c>
      <c r="B67" s="177"/>
      <c r="C67" s="178"/>
      <c r="D67" s="179">
        <f t="shared" ref="D67:K67" si="10">+D64+D66</f>
        <v>12801.55054656</v>
      </c>
      <c r="E67" s="180"/>
      <c r="F67" s="180">
        <f t="shared" si="10"/>
        <v>22346.00145648</v>
      </c>
      <c r="G67" s="180"/>
      <c r="H67" s="181">
        <f t="shared" si="10"/>
        <v>27725.960729759998</v>
      </c>
      <c r="I67" s="182">
        <f t="shared" si="10"/>
        <v>62873.512732800002</v>
      </c>
      <c r="J67" s="201">
        <f t="shared" si="10"/>
        <v>582.22880256000008</v>
      </c>
      <c r="K67" s="218">
        <f t="shared" si="10"/>
        <v>5478.27447072</v>
      </c>
      <c r="L67" s="182">
        <f>SUM(I67:K67)</f>
        <v>68934.016006079997</v>
      </c>
      <c r="M67" s="183">
        <f>+L67/$L$67*100</f>
        <v>100</v>
      </c>
      <c r="N67" s="43"/>
    </row>
    <row r="68" spans="1:15" ht="15" customHeight="1" x14ac:dyDescent="0.2">
      <c r="A68" s="240"/>
      <c r="B68" s="240"/>
      <c r="C68" s="241"/>
      <c r="D68" s="242"/>
      <c r="E68" s="242"/>
      <c r="F68" s="242"/>
      <c r="G68" s="242"/>
      <c r="H68" s="242"/>
      <c r="I68" s="242"/>
      <c r="J68" s="242"/>
      <c r="K68" s="242"/>
      <c r="L68" s="242"/>
      <c r="M68" s="243"/>
      <c r="N68" s="33"/>
      <c r="O68" s="33"/>
    </row>
    <row r="69" spans="1:15" ht="19.5" x14ac:dyDescent="0.25">
      <c r="A69" s="408" t="s">
        <v>321</v>
      </c>
      <c r="B69" s="409"/>
      <c r="C69" s="409"/>
      <c r="D69" s="409"/>
      <c r="E69" s="409"/>
      <c r="F69" s="409"/>
      <c r="G69" s="409"/>
      <c r="H69" s="409"/>
      <c r="I69" s="409"/>
      <c r="J69" s="409"/>
      <c r="K69" s="409"/>
      <c r="L69" s="410">
        <f>+L67*'IZRAČUN VREDNOST NU'!C43</f>
        <v>2242028.1402433817</v>
      </c>
      <c r="M69" s="409"/>
      <c r="N69" s="33"/>
      <c r="O69" s="33"/>
    </row>
    <row r="70" spans="1:15" x14ac:dyDescent="0.2">
      <c r="G70" s="250"/>
      <c r="I70" s="110"/>
      <c r="J70" s="54"/>
      <c r="K70" s="54"/>
      <c r="L70" s="110"/>
      <c r="M70" s="111"/>
    </row>
    <row r="71" spans="1:15" ht="18" x14ac:dyDescent="0.25">
      <c r="A71" s="280" t="str">
        <f>EUR!A71</f>
        <v>DRUGI PRIBITKI</v>
      </c>
      <c r="B71" s="95"/>
      <c r="C71" s="95"/>
      <c r="D71" s="135"/>
      <c r="E71" s="135"/>
      <c r="F71" s="135"/>
      <c r="G71" s="281"/>
      <c r="H71" s="128"/>
      <c r="I71" s="128"/>
      <c r="J71" s="128"/>
      <c r="K71" s="128"/>
      <c r="L71" s="128" t="str">
        <f>IF(J11="da",S26*PODATKI!O13,"")</f>
        <v/>
      </c>
      <c r="M71" s="130"/>
    </row>
    <row r="72" spans="1:15" ht="18" x14ac:dyDescent="0.25">
      <c r="A72" s="90" t="str">
        <f>EUR!A72</f>
        <v>PODALJŠANJE GARANCIJE</v>
      </c>
      <c r="B72" s="90"/>
      <c r="C72" s="81"/>
      <c r="D72" s="81"/>
      <c r="E72" s="273"/>
      <c r="F72" s="274">
        <f>EUR!F72</f>
        <v>0</v>
      </c>
      <c r="G72" s="275">
        <f>EUR!G72</f>
        <v>0</v>
      </c>
      <c r="H72" s="128"/>
      <c r="I72" s="128"/>
      <c r="J72" s="128"/>
      <c r="K72" s="128"/>
      <c r="L72" s="128"/>
      <c r="M72" s="130"/>
    </row>
    <row r="73" spans="1:15" ht="18" x14ac:dyDescent="0.25">
      <c r="A73" s="26" t="str">
        <f>EUR!A73</f>
        <v>KRAJŠI ROK IZDELAVE</v>
      </c>
      <c r="B73" s="26"/>
      <c r="C73" s="276"/>
      <c r="D73" s="276"/>
      <c r="E73" s="277"/>
      <c r="F73" s="278">
        <f>EUR!F73</f>
        <v>0</v>
      </c>
      <c r="G73" s="279">
        <f>EUR!G73</f>
        <v>0</v>
      </c>
      <c r="H73" s="128"/>
      <c r="I73" s="128"/>
      <c r="J73" s="128"/>
      <c r="K73" s="128"/>
      <c r="L73" s="128"/>
      <c r="M73" s="130"/>
    </row>
    <row r="74" spans="1:15" ht="18" x14ac:dyDescent="0.25">
      <c r="A74" s="26" t="str">
        <f>EUR!A74</f>
        <v>FINANČNO ZAVAROVANJE ZA DOBRO IZVEDBO POGODBENIH DEL</v>
      </c>
      <c r="B74" s="26"/>
      <c r="C74" s="276"/>
      <c r="D74" s="276"/>
      <c r="E74" s="277"/>
      <c r="F74" s="278">
        <f>EUR!F74</f>
        <v>0</v>
      </c>
      <c r="G74" s="279">
        <f>EUR!G74</f>
        <v>0</v>
      </c>
      <c r="H74" s="128"/>
      <c r="I74" s="128"/>
      <c r="J74" s="128"/>
      <c r="K74" s="128"/>
      <c r="L74" s="128"/>
      <c r="M74" s="130"/>
    </row>
    <row r="75" spans="1:15" ht="18" x14ac:dyDescent="0.25">
      <c r="A75" s="26" t="str">
        <f>EUR!A75</f>
        <v>DODATNO ZAVAROVANJE PROJEKTANTSKE ODGOVORNOSTI</v>
      </c>
      <c r="B75" s="26"/>
      <c r="C75" s="276"/>
      <c r="D75" s="276"/>
      <c r="E75" s="277"/>
      <c r="F75" s="278">
        <f>EUR!F75</f>
        <v>0</v>
      </c>
      <c r="G75" s="279">
        <f>EUR!G75</f>
        <v>0</v>
      </c>
      <c r="H75" s="128"/>
      <c r="I75" s="128"/>
      <c r="J75" s="128"/>
      <c r="K75" s="128"/>
      <c r="L75" s="128"/>
      <c r="M75" s="130"/>
    </row>
    <row r="76" spans="1:15" ht="18" x14ac:dyDescent="0.25">
      <c r="A76" s="31"/>
      <c r="B76" s="31"/>
      <c r="C76" s="78"/>
      <c r="D76" s="78"/>
      <c r="E76" s="219"/>
      <c r="F76" s="337"/>
      <c r="G76" s="338"/>
      <c r="H76" s="128"/>
      <c r="I76" s="128"/>
      <c r="J76" s="128"/>
      <c r="K76" s="128"/>
      <c r="L76" s="128"/>
      <c r="M76" s="130"/>
    </row>
    <row r="77" spans="1:15" ht="19.5" x14ac:dyDescent="0.25">
      <c r="A77" s="351" t="s">
        <v>317</v>
      </c>
      <c r="B77" s="352"/>
      <c r="C77" s="353"/>
      <c r="D77" s="353"/>
      <c r="E77" s="354"/>
      <c r="F77" s="355"/>
      <c r="G77" s="356">
        <f>+L69+G72+G73+G74+G75</f>
        <v>2242028.1402433817</v>
      </c>
      <c r="H77" s="128"/>
      <c r="I77" s="128"/>
      <c r="J77" s="128"/>
      <c r="K77" s="128"/>
      <c r="L77" s="128"/>
      <c r="M77" s="130"/>
    </row>
    <row r="78" spans="1:15" ht="18" x14ac:dyDescent="0.25">
      <c r="A78" s="31"/>
      <c r="B78" s="31"/>
      <c r="C78" s="31"/>
      <c r="D78" s="128"/>
      <c r="E78" s="128"/>
      <c r="F78" s="128"/>
      <c r="G78" s="128"/>
      <c r="H78" s="128"/>
      <c r="I78" s="128"/>
      <c r="J78" s="128"/>
      <c r="K78" s="128"/>
      <c r="L78" s="128"/>
      <c r="M78" s="130"/>
    </row>
    <row r="79" spans="1:15" s="222" customFormat="1" ht="15" customHeight="1" x14ac:dyDescent="0.25">
      <c r="A79" s="119"/>
      <c r="B79" s="220"/>
      <c r="C79" s="220"/>
      <c r="D79" s="220"/>
      <c r="E79" s="220"/>
      <c r="F79" s="220"/>
      <c r="G79" s="220"/>
      <c r="H79" s="221"/>
      <c r="I79" s="220"/>
      <c r="J79" s="220"/>
      <c r="K79" s="220"/>
      <c r="L79" s="220"/>
      <c r="M79" s="220"/>
      <c r="N79" s="220"/>
      <c r="O79" s="220"/>
    </row>
    <row r="80" spans="1:15" s="222" customFormat="1" ht="15" customHeight="1" x14ac:dyDescent="0.25">
      <c r="A80" s="257" t="str">
        <f>EUR!A80</f>
        <v>Večja odstopanja od minimalnih cen ne morejo zagotoviti niti kakovostne izvedbe projektne dokumentacije niti kakovostne izvedbe samega projekta.</v>
      </c>
      <c r="B80" s="220"/>
      <c r="C80" s="220"/>
      <c r="D80" s="220"/>
      <c r="E80" s="220"/>
      <c r="F80" s="220"/>
      <c r="G80" s="220"/>
      <c r="H80" s="220"/>
      <c r="I80" s="220"/>
      <c r="J80" s="220"/>
      <c r="K80" s="220"/>
      <c r="L80" s="220"/>
      <c r="M80" s="220"/>
      <c r="N80" s="220"/>
      <c r="O80" s="220"/>
    </row>
    <row r="81" spans="1:15" ht="15" customHeight="1" x14ac:dyDescent="0.25">
      <c r="A81" s="112"/>
      <c r="B81" s="33"/>
      <c r="C81" s="33"/>
      <c r="D81" s="33"/>
      <c r="E81" s="33"/>
      <c r="F81" s="33"/>
      <c r="G81" s="33"/>
      <c r="H81" s="33"/>
      <c r="I81" s="33"/>
      <c r="J81" s="33"/>
      <c r="K81" s="33"/>
      <c r="L81" s="33"/>
      <c r="M81" s="33"/>
      <c r="N81" s="33"/>
      <c r="O81" s="33"/>
    </row>
    <row r="82" spans="1:15" ht="15" customHeight="1" x14ac:dyDescent="0.2">
      <c r="A82" s="113" t="str">
        <f>EUR!A82</f>
        <v>© 2019 ZAPS in DAL, vse pravice pridržane</v>
      </c>
      <c r="B82" s="33"/>
      <c r="C82" s="33"/>
      <c r="D82" s="33"/>
      <c r="E82" s="33"/>
      <c r="F82" s="33"/>
      <c r="G82" s="33"/>
      <c r="H82" s="33"/>
      <c r="I82" s="33"/>
      <c r="J82" s="33"/>
      <c r="K82" s="33"/>
      <c r="L82" s="33"/>
      <c r="M82" s="33"/>
      <c r="N82" s="33"/>
      <c r="O82" s="33"/>
    </row>
    <row r="83" spans="1:15" ht="15" customHeight="1" x14ac:dyDescent="0.2">
      <c r="A83" s="33"/>
      <c r="B83" s="33"/>
      <c r="C83" s="33"/>
      <c r="D83" s="33"/>
      <c r="E83" s="33"/>
      <c r="F83" s="33"/>
      <c r="G83" s="33"/>
      <c r="H83" s="33"/>
      <c r="I83" s="33"/>
      <c r="J83" s="33"/>
      <c r="K83" s="33"/>
      <c r="L83" s="33"/>
      <c r="M83" s="33"/>
      <c r="N83" s="33"/>
      <c r="O83" s="33"/>
    </row>
    <row r="84" spans="1:15" ht="15" customHeight="1" x14ac:dyDescent="0.2">
      <c r="A84" s="33"/>
      <c r="B84" s="33"/>
      <c r="C84" s="33"/>
      <c r="D84" s="33"/>
      <c r="E84" s="33"/>
      <c r="F84" s="33"/>
      <c r="G84" s="33"/>
      <c r="H84" s="33"/>
      <c r="I84" s="33"/>
      <c r="J84" s="33"/>
      <c r="K84" s="33"/>
      <c r="L84" s="33"/>
      <c r="M84" s="33"/>
      <c r="N84" s="33"/>
      <c r="O84" s="33"/>
    </row>
    <row r="85" spans="1:15" ht="15" customHeight="1" x14ac:dyDescent="0.2">
      <c r="A85" s="33"/>
      <c r="B85" s="33"/>
      <c r="C85" s="33"/>
      <c r="D85" s="33"/>
      <c r="E85" s="33"/>
      <c r="F85" s="33"/>
      <c r="G85" s="33"/>
      <c r="H85" s="33"/>
      <c r="I85" s="33"/>
      <c r="J85" s="33"/>
      <c r="K85" s="33"/>
      <c r="L85" s="33"/>
      <c r="M85" s="33"/>
      <c r="N85" s="33"/>
      <c r="O85" s="33"/>
    </row>
    <row r="86" spans="1:15" ht="15" customHeight="1" x14ac:dyDescent="0.2">
      <c r="A86" s="33"/>
      <c r="B86" s="33"/>
      <c r="C86" s="33"/>
      <c r="D86" s="33"/>
      <c r="E86" s="33"/>
      <c r="F86" s="33"/>
      <c r="G86" s="33"/>
      <c r="H86" s="33"/>
      <c r="I86" s="33"/>
      <c r="J86" s="33"/>
      <c r="K86" s="33"/>
      <c r="L86" s="33"/>
      <c r="M86" s="33"/>
      <c r="N86" s="33"/>
      <c r="O86" s="33"/>
    </row>
    <row r="87" spans="1:15" ht="15" customHeight="1" x14ac:dyDescent="0.2">
      <c r="A87" s="33"/>
      <c r="B87" s="33"/>
      <c r="C87" s="33"/>
      <c r="D87" s="33"/>
      <c r="E87" s="33"/>
      <c r="F87" s="33"/>
      <c r="G87" s="33"/>
      <c r="H87" s="33"/>
      <c r="I87" s="33"/>
      <c r="J87" s="33"/>
      <c r="K87" s="33"/>
      <c r="L87" s="33"/>
      <c r="M87" s="33"/>
      <c r="N87" s="33"/>
      <c r="O87" s="33"/>
    </row>
    <row r="88" spans="1:15" ht="14.1" customHeight="1" x14ac:dyDescent="0.2">
      <c r="A88" s="33"/>
      <c r="B88" s="33"/>
      <c r="C88" s="33"/>
      <c r="D88" s="33"/>
      <c r="E88" s="33"/>
      <c r="F88" s="33"/>
      <c r="G88" s="33"/>
      <c r="H88" s="33"/>
      <c r="I88" s="33"/>
      <c r="J88" s="33"/>
      <c r="K88" s="33"/>
      <c r="L88" s="33"/>
      <c r="M88" s="33"/>
      <c r="N88" s="33"/>
      <c r="O88" s="33"/>
    </row>
    <row r="89" spans="1:15" ht="15" x14ac:dyDescent="0.2">
      <c r="A89" s="33"/>
      <c r="B89" s="33"/>
      <c r="C89" s="33"/>
      <c r="D89" s="33"/>
      <c r="E89" s="33"/>
      <c r="F89" s="33"/>
      <c r="G89" s="33"/>
      <c r="H89" s="33"/>
      <c r="I89" s="33"/>
      <c r="J89" s="33"/>
      <c r="K89" s="33"/>
      <c r="L89" s="33"/>
      <c r="M89" s="33"/>
      <c r="N89" s="33"/>
      <c r="O89" s="33"/>
    </row>
    <row r="90" spans="1:15" ht="15" x14ac:dyDescent="0.2">
      <c r="A90" s="33"/>
      <c r="B90" s="33"/>
      <c r="C90" s="33"/>
      <c r="D90" s="33"/>
      <c r="E90" s="33"/>
      <c r="F90" s="33"/>
      <c r="G90" s="33"/>
      <c r="H90" s="33"/>
      <c r="I90" s="33"/>
      <c r="J90" s="33"/>
      <c r="K90" s="33"/>
      <c r="L90" s="33"/>
      <c r="M90" s="33"/>
      <c r="N90" s="33"/>
      <c r="O90" s="33"/>
    </row>
    <row r="91" spans="1:15" ht="15" x14ac:dyDescent="0.2">
      <c r="A91" s="33"/>
      <c r="B91" s="33"/>
      <c r="C91" s="33"/>
      <c r="D91" s="33"/>
      <c r="E91" s="33"/>
      <c r="F91" s="33"/>
      <c r="G91" s="33"/>
      <c r="H91" s="33"/>
      <c r="I91" s="33"/>
      <c r="J91" s="33"/>
      <c r="K91" s="33"/>
      <c r="L91" s="33"/>
      <c r="M91" s="33"/>
      <c r="N91" s="33"/>
      <c r="O91" s="33"/>
    </row>
    <row r="92" spans="1:15" ht="14.25" x14ac:dyDescent="0.2">
      <c r="A92" s="114"/>
      <c r="B92" s="114"/>
      <c r="C92" s="114"/>
      <c r="D92" s="114"/>
      <c r="E92" s="114"/>
      <c r="F92" s="244"/>
      <c r="G92" s="114"/>
      <c r="H92" s="114"/>
      <c r="I92" s="114"/>
      <c r="J92" s="114"/>
      <c r="K92" s="114"/>
      <c r="L92" s="114"/>
      <c r="M92" s="114"/>
      <c r="N92" s="114"/>
      <c r="O92" s="114"/>
    </row>
    <row r="93" spans="1:15" ht="14.25" x14ac:dyDescent="0.2">
      <c r="A93" s="114"/>
      <c r="B93" s="114"/>
      <c r="C93" s="114"/>
      <c r="D93" s="114"/>
      <c r="E93" s="114"/>
      <c r="F93" s="114"/>
      <c r="G93" s="114"/>
      <c r="H93" s="114"/>
      <c r="I93" s="114"/>
      <c r="J93" s="114"/>
      <c r="K93" s="114"/>
      <c r="L93" s="114"/>
      <c r="M93" s="114"/>
      <c r="N93" s="114"/>
      <c r="O93" s="114"/>
    </row>
  </sheetData>
  <sheetProtection algorithmName="SHA-512" hashValue="Keh9jdeBDQIQFVEMpvIt58Fk3lAlK4zqyvcVUfyV+lTYJnYDXolKomVQQk7FMHI4ZoINZYhUfxx67Gbo+e6qeg==" saltValue="sKCUBCY3IJOqYx+JAeZ1Pw==" spinCount="100000" sheet="1" objects="1" scenarios="1" formatColumns="0" formatRows="0"/>
  <mergeCells count="3">
    <mergeCell ref="D11:F11"/>
    <mergeCell ref="G11:I11"/>
    <mergeCell ref="J11:L11"/>
  </mergeCells>
  <pageMargins left="0.98425196850393704" right="0.39370078740157483" top="0.39370078740157483" bottom="0.39370078740157483" header="0" footer="0"/>
  <pageSetup paperSize="9" scale="37"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pageSetUpPr fitToPage="1"/>
  </sheetPr>
  <dimension ref="A1:O503"/>
  <sheetViews>
    <sheetView topLeftCell="A277" zoomScaleNormal="100" workbookViewId="0">
      <selection activeCell="A44" sqref="A44"/>
    </sheetView>
  </sheetViews>
  <sheetFormatPr defaultColWidth="8.85546875" defaultRowHeight="12.75" x14ac:dyDescent="0.2"/>
  <cols>
    <col min="1" max="1" width="36.140625" style="34" customWidth="1"/>
    <col min="2" max="2" width="12.5703125" style="34" customWidth="1"/>
    <col min="3" max="3" width="11.85546875" style="34" customWidth="1"/>
    <col min="4" max="4" width="12.5703125" style="34" customWidth="1"/>
    <col min="5" max="5" width="10.7109375" style="34" customWidth="1"/>
    <col min="6" max="6" width="13.28515625" style="34" customWidth="1"/>
    <col min="7" max="7" width="12.140625" style="34" customWidth="1"/>
    <col min="8" max="9" width="8.7109375" style="34" customWidth="1"/>
    <col min="10" max="10" width="13.42578125" style="34" customWidth="1"/>
    <col min="11" max="11" width="10.42578125" style="34" customWidth="1"/>
    <col min="12" max="13" width="8.7109375" style="34" customWidth="1"/>
    <col min="14" max="14" width="10.7109375" style="34" customWidth="1"/>
    <col min="15" max="15" width="8.85546875" style="34"/>
    <col min="16" max="16" width="15.28515625" style="1" customWidth="1"/>
    <col min="17" max="16384" width="8.85546875" style="1"/>
  </cols>
  <sheetData>
    <row r="1" spans="1:15" ht="18" x14ac:dyDescent="0.25">
      <c r="A1" s="335" t="s">
        <v>96</v>
      </c>
      <c r="B1" s="335"/>
      <c r="C1" s="335"/>
      <c r="D1" s="335"/>
      <c r="E1" s="335"/>
      <c r="F1" s="335"/>
      <c r="G1" s="335"/>
    </row>
    <row r="2" spans="1:15" x14ac:dyDescent="0.2">
      <c r="C2" s="34" t="s">
        <v>32</v>
      </c>
      <c r="D2" s="34" t="s">
        <v>33</v>
      </c>
      <c r="E2" s="34" t="s">
        <v>34</v>
      </c>
      <c r="F2" s="34" t="s">
        <v>35</v>
      </c>
      <c r="G2" s="34" t="s">
        <v>36</v>
      </c>
      <c r="I2" s="34" t="s">
        <v>80</v>
      </c>
    </row>
    <row r="3" spans="1:15" x14ac:dyDescent="0.2">
      <c r="A3" s="34" t="s">
        <v>47</v>
      </c>
      <c r="B3" s="34" t="s">
        <v>37</v>
      </c>
      <c r="C3" s="316">
        <v>0.73</v>
      </c>
      <c r="D3" s="316">
        <v>0.12</v>
      </c>
      <c r="E3" s="316">
        <v>0.12</v>
      </c>
      <c r="F3" s="316">
        <v>0.03</v>
      </c>
      <c r="G3" s="317">
        <f>SUM(C3:F3)</f>
        <v>1</v>
      </c>
      <c r="I3" s="34" t="s">
        <v>81</v>
      </c>
      <c r="O3" s="318">
        <v>0</v>
      </c>
    </row>
    <row r="4" spans="1:15" x14ac:dyDescent="0.2">
      <c r="A4" s="34" t="s">
        <v>48</v>
      </c>
      <c r="B4" s="34" t="s">
        <v>38</v>
      </c>
      <c r="C4" s="316">
        <v>0.66</v>
      </c>
      <c r="D4" s="316">
        <v>0.16</v>
      </c>
      <c r="E4" s="316">
        <v>0.16</v>
      </c>
      <c r="F4" s="316">
        <v>0.02</v>
      </c>
      <c r="G4" s="317">
        <f t="shared" ref="G4:G14" si="0">SUM(C4:F4)</f>
        <v>1</v>
      </c>
      <c r="I4" s="34" t="s">
        <v>82</v>
      </c>
      <c r="O4" s="318">
        <v>0.1</v>
      </c>
    </row>
    <row r="5" spans="1:15" x14ac:dyDescent="0.2">
      <c r="A5" s="34" t="s">
        <v>49</v>
      </c>
      <c r="B5" s="34" t="s">
        <v>39</v>
      </c>
      <c r="C5" s="316">
        <v>0.75</v>
      </c>
      <c r="D5" s="316">
        <v>0.11</v>
      </c>
      <c r="E5" s="316">
        <v>0.11</v>
      </c>
      <c r="F5" s="316">
        <v>0.03</v>
      </c>
      <c r="G5" s="317">
        <f t="shared" si="0"/>
        <v>1</v>
      </c>
      <c r="I5" s="34" t="s">
        <v>213</v>
      </c>
      <c r="O5" s="318">
        <v>0.1</v>
      </c>
    </row>
    <row r="6" spans="1:15" x14ac:dyDescent="0.2">
      <c r="A6" s="34" t="s">
        <v>50</v>
      </c>
      <c r="B6" s="34" t="s">
        <v>37</v>
      </c>
      <c r="C6" s="316">
        <v>0.76</v>
      </c>
      <c r="D6" s="316">
        <v>0.11</v>
      </c>
      <c r="E6" s="316">
        <v>0.11</v>
      </c>
      <c r="F6" s="316">
        <v>0.02</v>
      </c>
      <c r="G6" s="317">
        <f t="shared" si="0"/>
        <v>1</v>
      </c>
      <c r="I6" s="34" t="s">
        <v>206</v>
      </c>
      <c r="O6" s="318">
        <v>0.2</v>
      </c>
    </row>
    <row r="7" spans="1:15" x14ac:dyDescent="0.2">
      <c r="A7" s="34" t="s">
        <v>51</v>
      </c>
      <c r="B7" s="34" t="s">
        <v>40</v>
      </c>
      <c r="C7" s="316">
        <v>0.78</v>
      </c>
      <c r="D7" s="316">
        <v>0.1</v>
      </c>
      <c r="E7" s="316">
        <v>0.1</v>
      </c>
      <c r="F7" s="316">
        <v>0.02</v>
      </c>
      <c r="G7" s="317">
        <f t="shared" si="0"/>
        <v>1</v>
      </c>
      <c r="O7" s="318"/>
    </row>
    <row r="8" spans="1:15" x14ac:dyDescent="0.2">
      <c r="A8" s="34" t="s">
        <v>52</v>
      </c>
      <c r="B8" s="34" t="s">
        <v>37</v>
      </c>
      <c r="C8" s="316">
        <v>0.7</v>
      </c>
      <c r="D8" s="316">
        <v>0.15</v>
      </c>
      <c r="E8" s="316">
        <v>0.15</v>
      </c>
      <c r="F8" s="316">
        <v>0</v>
      </c>
      <c r="G8" s="317">
        <f t="shared" si="0"/>
        <v>1</v>
      </c>
      <c r="I8" s="34" t="s">
        <v>207</v>
      </c>
      <c r="O8" s="318">
        <v>0.2</v>
      </c>
    </row>
    <row r="9" spans="1:15" x14ac:dyDescent="0.2">
      <c r="A9" s="34" t="s">
        <v>53</v>
      </c>
      <c r="B9" s="34" t="s">
        <v>31</v>
      </c>
      <c r="C9" s="316">
        <v>0.72</v>
      </c>
      <c r="D9" s="316">
        <v>0.14000000000000001</v>
      </c>
      <c r="E9" s="316">
        <v>0.14000000000000001</v>
      </c>
      <c r="F9" s="316">
        <v>0</v>
      </c>
      <c r="G9" s="317">
        <f t="shared" si="0"/>
        <v>1</v>
      </c>
      <c r="I9" s="34" t="s">
        <v>239</v>
      </c>
      <c r="O9" s="318">
        <v>0.2</v>
      </c>
    </row>
    <row r="10" spans="1:15" x14ac:dyDescent="0.2">
      <c r="A10" s="34" t="s">
        <v>30</v>
      </c>
      <c r="B10" s="34" t="s">
        <v>31</v>
      </c>
      <c r="C10" s="316">
        <v>0.74</v>
      </c>
      <c r="D10" s="316">
        <v>0.13</v>
      </c>
      <c r="E10" s="316">
        <v>0.13</v>
      </c>
      <c r="F10" s="316">
        <v>0</v>
      </c>
      <c r="G10" s="317">
        <f t="shared" si="0"/>
        <v>1</v>
      </c>
      <c r="I10" s="34" t="s">
        <v>252</v>
      </c>
      <c r="O10" s="318">
        <v>0.08</v>
      </c>
    </row>
    <row r="11" spans="1:15" x14ac:dyDescent="0.2">
      <c r="A11" s="34" t="s">
        <v>54</v>
      </c>
      <c r="B11" s="34" t="s">
        <v>40</v>
      </c>
      <c r="C11" s="316">
        <v>0.74</v>
      </c>
      <c r="D11" s="316">
        <v>0.13</v>
      </c>
      <c r="E11" s="316">
        <v>0.13</v>
      </c>
      <c r="F11" s="316">
        <v>0</v>
      </c>
      <c r="G11" s="317">
        <f t="shared" si="0"/>
        <v>1</v>
      </c>
      <c r="O11" s="318"/>
    </row>
    <row r="12" spans="1:15" x14ac:dyDescent="0.2">
      <c r="A12" s="34" t="s">
        <v>55</v>
      </c>
      <c r="B12" s="34" t="s">
        <v>41</v>
      </c>
      <c r="C12" s="316">
        <v>0.68</v>
      </c>
      <c r="D12" s="316">
        <v>0.14000000000000001</v>
      </c>
      <c r="E12" s="316">
        <v>0.14000000000000001</v>
      </c>
      <c r="F12" s="316">
        <v>0.04</v>
      </c>
      <c r="G12" s="317">
        <f t="shared" si="0"/>
        <v>1</v>
      </c>
      <c r="I12" s="34" t="s">
        <v>251</v>
      </c>
      <c r="O12" s="319">
        <f>IF(EUR!$K$6="da",PODATKI!$O$8,0)+IF(EUR!$K$7="DA",PODATKI!$O$9,0)+IF(EUR!$K$8="DA",PODATKI!$O$10,0)</f>
        <v>0.2</v>
      </c>
    </row>
    <row r="13" spans="1:15" x14ac:dyDescent="0.2">
      <c r="A13" s="34" t="s">
        <v>56</v>
      </c>
      <c r="B13" s="34" t="s">
        <v>31</v>
      </c>
      <c r="C13" s="316">
        <v>0.72</v>
      </c>
      <c r="D13" s="316">
        <v>0.14000000000000001</v>
      </c>
      <c r="E13" s="316">
        <v>0.14000000000000001</v>
      </c>
      <c r="F13" s="316">
        <v>0</v>
      </c>
      <c r="G13" s="317">
        <f t="shared" ref="G13" si="1">SUM(C13:F13)</f>
        <v>1</v>
      </c>
      <c r="I13" s="34" t="s">
        <v>255</v>
      </c>
      <c r="O13" s="319">
        <f>IF(EUR!$K$6="da",PODATKI!$O$8,0)</f>
        <v>0.2</v>
      </c>
    </row>
    <row r="14" spans="1:15" x14ac:dyDescent="0.2">
      <c r="A14" s="34" t="s">
        <v>208</v>
      </c>
      <c r="C14" s="316">
        <v>0.75</v>
      </c>
      <c r="D14" s="316">
        <v>0.11</v>
      </c>
      <c r="E14" s="316">
        <v>0.11</v>
      </c>
      <c r="F14" s="316">
        <v>0.03</v>
      </c>
      <c r="G14" s="317">
        <f t="shared" si="0"/>
        <v>1</v>
      </c>
      <c r="O14" s="318"/>
    </row>
    <row r="15" spans="1:15" x14ac:dyDescent="0.2">
      <c r="O15" s="318"/>
    </row>
    <row r="16" spans="1:15" ht="18" x14ac:dyDescent="0.25">
      <c r="A16" s="335" t="s">
        <v>44</v>
      </c>
      <c r="B16" s="335"/>
      <c r="C16" s="335"/>
      <c r="D16" s="335"/>
      <c r="E16" s="335"/>
      <c r="F16" s="335"/>
      <c r="G16" s="335"/>
    </row>
    <row r="17" spans="1:15" x14ac:dyDescent="0.2">
      <c r="A17" s="320" t="s">
        <v>240</v>
      </c>
    </row>
    <row r="18" spans="1:15" x14ac:dyDescent="0.2">
      <c r="A18" s="34" t="s">
        <v>57</v>
      </c>
      <c r="B18" s="238">
        <v>0.6</v>
      </c>
      <c r="D18" s="34" t="s">
        <v>89</v>
      </c>
      <c r="O18" s="318"/>
    </row>
    <row r="19" spans="1:15" x14ac:dyDescent="0.2">
      <c r="A19" s="34" t="s">
        <v>91</v>
      </c>
      <c r="B19" s="238">
        <v>0.75</v>
      </c>
      <c r="D19" s="34" t="s">
        <v>90</v>
      </c>
      <c r="O19" s="318"/>
    </row>
    <row r="20" spans="1:15" x14ac:dyDescent="0.2">
      <c r="A20" s="34" t="s">
        <v>92</v>
      </c>
      <c r="B20" s="238">
        <v>0.9</v>
      </c>
    </row>
    <row r="21" spans="1:15" x14ac:dyDescent="0.2">
      <c r="A21" s="34" t="s">
        <v>58</v>
      </c>
      <c r="B21" s="238">
        <v>1</v>
      </c>
      <c r="O21" s="319"/>
    </row>
    <row r="22" spans="1:15" x14ac:dyDescent="0.2">
      <c r="B22" s="238"/>
      <c r="O22" s="318"/>
    </row>
    <row r="23" spans="1:15" x14ac:dyDescent="0.2">
      <c r="A23" s="320" t="s">
        <v>11</v>
      </c>
      <c r="B23" s="238"/>
      <c r="K23" s="79"/>
      <c r="O23" s="318"/>
    </row>
    <row r="24" spans="1:15" x14ac:dyDescent="0.2">
      <c r="A24" s="34" t="s">
        <v>57</v>
      </c>
      <c r="B24" s="238">
        <v>0.5</v>
      </c>
      <c r="K24" s="79"/>
    </row>
    <row r="25" spans="1:15" x14ac:dyDescent="0.2">
      <c r="A25" s="34" t="s">
        <v>91</v>
      </c>
      <c r="B25" s="238">
        <v>0.6</v>
      </c>
      <c r="K25" s="79"/>
    </row>
    <row r="26" spans="1:15" x14ac:dyDescent="0.2">
      <c r="A26" s="34" t="s">
        <v>92</v>
      </c>
      <c r="B26" s="238">
        <v>0.7</v>
      </c>
      <c r="K26" s="316"/>
    </row>
    <row r="27" spans="1:15" x14ac:dyDescent="0.2">
      <c r="A27" s="34" t="s">
        <v>93</v>
      </c>
      <c r="B27" s="238">
        <v>0.8</v>
      </c>
    </row>
    <row r="28" spans="1:15" x14ac:dyDescent="0.2">
      <c r="A28" s="34" t="s">
        <v>94</v>
      </c>
      <c r="B28" s="238">
        <v>0.9</v>
      </c>
    </row>
    <row r="29" spans="1:15" x14ac:dyDescent="0.2">
      <c r="A29" s="34" t="s">
        <v>59</v>
      </c>
      <c r="B29" s="238">
        <v>1</v>
      </c>
    </row>
    <row r="31" spans="1:15" ht="18" x14ac:dyDescent="0.25">
      <c r="A31" s="335" t="s">
        <v>95</v>
      </c>
      <c r="B31" s="335"/>
      <c r="C31" s="335"/>
      <c r="D31" s="335"/>
      <c r="E31" s="335"/>
      <c r="F31" s="335"/>
      <c r="G31" s="335"/>
      <c r="H31" s="335"/>
    </row>
    <row r="32" spans="1:15" x14ac:dyDescent="0.2">
      <c r="B32" s="34" t="s">
        <v>1</v>
      </c>
      <c r="C32" s="34" t="s">
        <v>221</v>
      </c>
      <c r="D32" s="34" t="s">
        <v>2</v>
      </c>
      <c r="E32" s="34" t="s">
        <v>222</v>
      </c>
      <c r="F32" s="34" t="s">
        <v>3</v>
      </c>
      <c r="H32" s="34" t="s">
        <v>4</v>
      </c>
    </row>
    <row r="33" spans="1:8" x14ac:dyDescent="0.2">
      <c r="A33" s="54" t="s">
        <v>0</v>
      </c>
      <c r="B33" s="316">
        <v>0.2</v>
      </c>
      <c r="C33" s="316"/>
      <c r="D33" s="316">
        <v>0.35</v>
      </c>
      <c r="E33" s="316"/>
      <c r="F33" s="316">
        <v>0.45</v>
      </c>
      <c r="G33" s="317">
        <f t="shared" ref="G33:G43" si="2">SUM(B33:F33)</f>
        <v>1</v>
      </c>
      <c r="H33" s="317">
        <v>0.1</v>
      </c>
    </row>
    <row r="34" spans="1:8" x14ac:dyDescent="0.2">
      <c r="A34" s="57" t="s">
        <v>11</v>
      </c>
      <c r="B34" s="316">
        <v>0.2</v>
      </c>
      <c r="C34" s="316"/>
      <c r="D34" s="316">
        <v>0.35</v>
      </c>
      <c r="E34" s="316"/>
      <c r="F34" s="316">
        <v>0.45</v>
      </c>
      <c r="G34" s="317">
        <f t="shared" si="2"/>
        <v>1</v>
      </c>
      <c r="H34" s="317">
        <v>0.1</v>
      </c>
    </row>
    <row r="35" spans="1:8" x14ac:dyDescent="0.2">
      <c r="A35" s="60" t="s">
        <v>12</v>
      </c>
      <c r="B35" s="316">
        <v>0.2</v>
      </c>
      <c r="C35" s="316"/>
      <c r="D35" s="316">
        <v>0.35</v>
      </c>
      <c r="E35" s="316"/>
      <c r="F35" s="316">
        <v>0.45</v>
      </c>
      <c r="G35" s="317">
        <f t="shared" si="2"/>
        <v>1</v>
      </c>
      <c r="H35" s="317">
        <v>0.1</v>
      </c>
    </row>
    <row r="36" spans="1:8" x14ac:dyDescent="0.2">
      <c r="A36" s="60" t="s">
        <v>13</v>
      </c>
      <c r="B36" s="316">
        <v>0.2</v>
      </c>
      <c r="C36" s="316"/>
      <c r="D36" s="316">
        <v>0.35</v>
      </c>
      <c r="E36" s="316"/>
      <c r="F36" s="316">
        <v>0.45</v>
      </c>
      <c r="G36" s="317">
        <f t="shared" si="2"/>
        <v>1</v>
      </c>
      <c r="H36" s="317">
        <v>0.1</v>
      </c>
    </row>
    <row r="37" spans="1:8" x14ac:dyDescent="0.2">
      <c r="A37" s="34" t="s">
        <v>27</v>
      </c>
      <c r="B37" s="316">
        <v>0.2</v>
      </c>
      <c r="C37" s="316"/>
      <c r="D37" s="316">
        <v>0.35</v>
      </c>
      <c r="E37" s="316"/>
      <c r="F37" s="316">
        <v>0.45</v>
      </c>
      <c r="G37" s="317">
        <f t="shared" si="2"/>
        <v>1</v>
      </c>
      <c r="H37" s="317">
        <v>0.1</v>
      </c>
    </row>
    <row r="38" spans="1:8" x14ac:dyDescent="0.2">
      <c r="A38" s="77" t="s">
        <v>19</v>
      </c>
      <c r="B38" s="316">
        <v>0.2</v>
      </c>
      <c r="C38" s="316"/>
      <c r="D38" s="316">
        <v>0.35</v>
      </c>
      <c r="E38" s="316"/>
      <c r="F38" s="316">
        <v>0.45</v>
      </c>
      <c r="G38" s="317">
        <f t="shared" si="2"/>
        <v>1</v>
      </c>
      <c r="H38" s="317">
        <v>0.1</v>
      </c>
    </row>
    <row r="39" spans="1:8" x14ac:dyDescent="0.2">
      <c r="A39" s="34" t="s">
        <v>18</v>
      </c>
      <c r="B39" s="316">
        <v>0.2</v>
      </c>
      <c r="C39" s="316"/>
      <c r="D39" s="316">
        <v>0.35</v>
      </c>
      <c r="E39" s="316"/>
      <c r="F39" s="316">
        <v>0.45</v>
      </c>
      <c r="G39" s="317">
        <f t="shared" si="2"/>
        <v>1</v>
      </c>
      <c r="H39" s="317">
        <v>0.1</v>
      </c>
    </row>
    <row r="40" spans="1:8" x14ac:dyDescent="0.2">
      <c r="A40" s="34" t="s">
        <v>65</v>
      </c>
      <c r="B40" s="316">
        <v>0.2</v>
      </c>
      <c r="C40" s="316"/>
      <c r="D40" s="316">
        <v>0.35</v>
      </c>
      <c r="E40" s="316"/>
      <c r="F40" s="316">
        <v>0.45</v>
      </c>
      <c r="G40" s="317">
        <f t="shared" si="2"/>
        <v>1</v>
      </c>
      <c r="H40" s="317">
        <v>0.1</v>
      </c>
    </row>
    <row r="41" spans="1:8" x14ac:dyDescent="0.2">
      <c r="A41" s="34" t="s">
        <v>253</v>
      </c>
      <c r="B41" s="316">
        <v>0.2</v>
      </c>
      <c r="C41" s="316"/>
      <c r="D41" s="316">
        <v>0.35</v>
      </c>
      <c r="E41" s="316"/>
      <c r="F41" s="316">
        <v>0.45</v>
      </c>
      <c r="G41" s="317">
        <f t="shared" si="2"/>
        <v>1</v>
      </c>
      <c r="H41" s="317">
        <v>0.1</v>
      </c>
    </row>
    <row r="42" spans="1:8" x14ac:dyDescent="0.2">
      <c r="A42" s="34" t="s">
        <v>17</v>
      </c>
      <c r="B42" s="316">
        <v>0.2</v>
      </c>
      <c r="C42" s="316"/>
      <c r="D42" s="316">
        <v>0.25</v>
      </c>
      <c r="E42" s="316"/>
      <c r="F42" s="316">
        <v>0.55000000000000004</v>
      </c>
      <c r="G42" s="317">
        <f t="shared" si="2"/>
        <v>1</v>
      </c>
      <c r="H42" s="317">
        <v>0.1</v>
      </c>
    </row>
    <row r="43" spans="1:8" x14ac:dyDescent="0.2">
      <c r="A43" s="34" t="s">
        <v>346</v>
      </c>
      <c r="B43" s="316">
        <v>0.3</v>
      </c>
      <c r="C43" s="316"/>
      <c r="D43" s="316">
        <v>0.5</v>
      </c>
      <c r="E43" s="316"/>
      <c r="F43" s="316">
        <v>0.2</v>
      </c>
      <c r="G43" s="317">
        <f t="shared" si="2"/>
        <v>1</v>
      </c>
      <c r="H43" s="317">
        <v>0.1</v>
      </c>
    </row>
    <row r="44" spans="1:8" x14ac:dyDescent="0.2">
      <c r="B44" s="316"/>
      <c r="C44" s="316"/>
      <c r="D44" s="316"/>
      <c r="E44" s="316"/>
      <c r="F44" s="317"/>
    </row>
    <row r="45" spans="1:8" ht="18" x14ac:dyDescent="0.25">
      <c r="A45" s="335" t="s">
        <v>20</v>
      </c>
      <c r="B45" s="335"/>
      <c r="C45" s="335"/>
      <c r="D45" s="335"/>
      <c r="E45" s="335"/>
      <c r="F45" s="335"/>
      <c r="G45" s="335"/>
    </row>
    <row r="46" spans="1:8" x14ac:dyDescent="0.2">
      <c r="B46" s="34" t="s">
        <v>45</v>
      </c>
    </row>
    <row r="47" spans="1:8" x14ac:dyDescent="0.2">
      <c r="A47" s="34" t="s">
        <v>63</v>
      </c>
      <c r="B47" s="34">
        <v>3</v>
      </c>
    </row>
    <row r="48" spans="1:8" x14ac:dyDescent="0.2">
      <c r="A48" s="34" t="s">
        <v>87</v>
      </c>
      <c r="B48" s="34">
        <v>3</v>
      </c>
    </row>
    <row r="50" spans="1:7" ht="18" x14ac:dyDescent="0.25">
      <c r="A50" s="335" t="s">
        <v>254</v>
      </c>
      <c r="B50" s="335"/>
      <c r="C50" s="335"/>
      <c r="D50" s="335"/>
      <c r="E50" s="335"/>
      <c r="F50" s="335"/>
      <c r="G50" s="335"/>
    </row>
    <row r="51" spans="1:7" x14ac:dyDescent="0.2">
      <c r="A51" s="48" t="s">
        <v>173</v>
      </c>
      <c r="B51" s="321" t="s">
        <v>69</v>
      </c>
    </row>
    <row r="52" spans="1:7" x14ac:dyDescent="0.2">
      <c r="A52" s="48" t="s">
        <v>174</v>
      </c>
      <c r="B52" s="321" t="s">
        <v>69</v>
      </c>
    </row>
    <row r="53" spans="1:7" x14ac:dyDescent="0.2">
      <c r="A53" s="48" t="s">
        <v>175</v>
      </c>
      <c r="B53" s="321" t="s">
        <v>70</v>
      </c>
    </row>
    <row r="54" spans="1:7" x14ac:dyDescent="0.2">
      <c r="A54" s="48" t="s">
        <v>176</v>
      </c>
      <c r="B54" s="321" t="s">
        <v>71</v>
      </c>
    </row>
    <row r="55" spans="1:7" ht="25.5" x14ac:dyDescent="0.2">
      <c r="A55" s="48" t="s">
        <v>177</v>
      </c>
      <c r="B55" s="321" t="s">
        <v>69</v>
      </c>
    </row>
    <row r="56" spans="1:7" x14ac:dyDescent="0.2">
      <c r="A56" s="48" t="s">
        <v>178</v>
      </c>
      <c r="B56" s="321" t="s">
        <v>70</v>
      </c>
    </row>
    <row r="57" spans="1:7" ht="25.5" x14ac:dyDescent="0.2">
      <c r="A57" s="48" t="s">
        <v>179</v>
      </c>
      <c r="B57" s="321" t="s">
        <v>70</v>
      </c>
    </row>
    <row r="58" spans="1:7" x14ac:dyDescent="0.2">
      <c r="A58" s="48" t="s">
        <v>180</v>
      </c>
      <c r="B58" s="321" t="s">
        <v>70</v>
      </c>
    </row>
    <row r="59" spans="1:7" x14ac:dyDescent="0.2">
      <c r="A59" s="48" t="s">
        <v>181</v>
      </c>
      <c r="B59" s="321" t="s">
        <v>71</v>
      </c>
    </row>
    <row r="60" spans="1:7" x14ac:dyDescent="0.2">
      <c r="A60" s="48" t="s">
        <v>182</v>
      </c>
      <c r="B60" s="321" t="s">
        <v>69</v>
      </c>
    </row>
    <row r="61" spans="1:7" x14ac:dyDescent="0.2">
      <c r="A61" s="48" t="s">
        <v>183</v>
      </c>
      <c r="B61" s="321" t="s">
        <v>70</v>
      </c>
    </row>
    <row r="62" spans="1:7" x14ac:dyDescent="0.2">
      <c r="A62" s="48" t="s">
        <v>184</v>
      </c>
      <c r="B62" s="321" t="s">
        <v>69</v>
      </c>
    </row>
    <row r="63" spans="1:7" x14ac:dyDescent="0.2">
      <c r="A63" s="48" t="s">
        <v>185</v>
      </c>
      <c r="B63" s="321" t="s">
        <v>70</v>
      </c>
    </row>
    <row r="64" spans="1:7" x14ac:dyDescent="0.2">
      <c r="A64" s="48" t="s">
        <v>186</v>
      </c>
      <c r="B64" s="321" t="s">
        <v>69</v>
      </c>
    </row>
    <row r="65" spans="1:2" x14ac:dyDescent="0.2">
      <c r="A65" s="48" t="s">
        <v>187</v>
      </c>
      <c r="B65" s="321" t="s">
        <v>70</v>
      </c>
    </row>
    <row r="66" spans="1:2" x14ac:dyDescent="0.2">
      <c r="A66" s="48" t="s">
        <v>188</v>
      </c>
      <c r="B66" s="321" t="s">
        <v>70</v>
      </c>
    </row>
    <row r="67" spans="1:2" x14ac:dyDescent="0.2">
      <c r="A67" s="48" t="s">
        <v>189</v>
      </c>
      <c r="B67" s="321" t="s">
        <v>71</v>
      </c>
    </row>
    <row r="68" spans="1:2" x14ac:dyDescent="0.2">
      <c r="A68" s="48" t="s">
        <v>190</v>
      </c>
      <c r="B68" s="321" t="s">
        <v>69</v>
      </c>
    </row>
    <row r="69" spans="1:2" ht="25.5" x14ac:dyDescent="0.2">
      <c r="A69" s="48" t="s">
        <v>191</v>
      </c>
      <c r="B69" s="321" t="s">
        <v>69</v>
      </c>
    </row>
    <row r="70" spans="1:2" x14ac:dyDescent="0.2">
      <c r="A70" s="48" t="s">
        <v>192</v>
      </c>
      <c r="B70" s="321" t="s">
        <v>70</v>
      </c>
    </row>
    <row r="71" spans="1:2" x14ac:dyDescent="0.2">
      <c r="A71" s="48" t="s">
        <v>193</v>
      </c>
      <c r="B71" s="321" t="s">
        <v>71</v>
      </c>
    </row>
    <row r="72" spans="1:2" ht="25.5" x14ac:dyDescent="0.2">
      <c r="A72" s="48" t="s">
        <v>194</v>
      </c>
      <c r="B72" s="321" t="s">
        <v>69</v>
      </c>
    </row>
    <row r="73" spans="1:2" x14ac:dyDescent="0.2">
      <c r="A73" s="48" t="s">
        <v>195</v>
      </c>
      <c r="B73" s="321" t="s">
        <v>69</v>
      </c>
    </row>
    <row r="74" spans="1:2" x14ac:dyDescent="0.2">
      <c r="A74" s="48" t="s">
        <v>196</v>
      </c>
      <c r="B74" s="321" t="s">
        <v>69</v>
      </c>
    </row>
    <row r="75" spans="1:2" x14ac:dyDescent="0.2">
      <c r="A75" s="48" t="s">
        <v>197</v>
      </c>
      <c r="B75" s="321" t="s">
        <v>70</v>
      </c>
    </row>
    <row r="76" spans="1:2" x14ac:dyDescent="0.2">
      <c r="A76" s="48" t="s">
        <v>198</v>
      </c>
      <c r="B76" s="321" t="s">
        <v>70</v>
      </c>
    </row>
    <row r="77" spans="1:2" x14ac:dyDescent="0.2">
      <c r="A77" s="48" t="s">
        <v>199</v>
      </c>
      <c r="B77" s="321" t="s">
        <v>71</v>
      </c>
    </row>
    <row r="78" spans="1:2" ht="25.5" x14ac:dyDescent="0.2">
      <c r="A78" s="48" t="s">
        <v>200</v>
      </c>
      <c r="B78" s="321" t="s">
        <v>71</v>
      </c>
    </row>
    <row r="79" spans="1:2" ht="25.5" x14ac:dyDescent="0.2">
      <c r="A79" s="48" t="s">
        <v>201</v>
      </c>
      <c r="B79" s="321" t="s">
        <v>70</v>
      </c>
    </row>
    <row r="80" spans="1:2" x14ac:dyDescent="0.2">
      <c r="A80" s="48" t="s">
        <v>202</v>
      </c>
      <c r="B80" s="321" t="s">
        <v>69</v>
      </c>
    </row>
    <row r="81" spans="1:15" x14ac:dyDescent="0.2">
      <c r="A81" s="48" t="s">
        <v>203</v>
      </c>
      <c r="B81" s="321" t="s">
        <v>69</v>
      </c>
    </row>
    <row r="82" spans="1:15" ht="14.25" x14ac:dyDescent="0.2">
      <c r="A82" s="114"/>
    </row>
    <row r="83" spans="1:15" ht="18" x14ac:dyDescent="0.25">
      <c r="A83" s="335" t="s">
        <v>97</v>
      </c>
      <c r="B83" s="335"/>
      <c r="C83" s="335"/>
      <c r="D83" s="335"/>
      <c r="E83" s="335"/>
      <c r="F83" s="335"/>
      <c r="G83" s="335"/>
      <c r="H83" s="335"/>
      <c r="I83" s="335"/>
      <c r="J83" s="335"/>
      <c r="K83" s="335"/>
    </row>
    <row r="84" spans="1:15" x14ac:dyDescent="0.2">
      <c r="A84" s="34" t="s">
        <v>72</v>
      </c>
      <c r="B84" s="321" t="s">
        <v>75</v>
      </c>
    </row>
    <row r="85" spans="1:15" x14ac:dyDescent="0.2">
      <c r="A85" s="34" t="s">
        <v>73</v>
      </c>
      <c r="B85" s="321" t="s">
        <v>77</v>
      </c>
    </row>
    <row r="86" spans="1:15" x14ac:dyDescent="0.2">
      <c r="A86" s="34" t="s">
        <v>74</v>
      </c>
      <c r="B86" s="321" t="s">
        <v>76</v>
      </c>
    </row>
    <row r="88" spans="1:15" ht="18" x14ac:dyDescent="0.25">
      <c r="A88" s="335" t="s">
        <v>98</v>
      </c>
      <c r="B88" s="335"/>
      <c r="C88" s="335"/>
      <c r="D88" s="335"/>
      <c r="E88" s="335"/>
      <c r="F88" s="335"/>
      <c r="G88" s="335"/>
      <c r="H88" s="335"/>
      <c r="I88" s="335"/>
      <c r="J88" s="335"/>
      <c r="K88" s="335"/>
    </row>
    <row r="89" spans="1:15" s="2" customFormat="1" ht="21.75" x14ac:dyDescent="0.2">
      <c r="A89" s="322"/>
      <c r="B89" s="322" t="s">
        <v>236</v>
      </c>
      <c r="C89" s="322" t="s">
        <v>0</v>
      </c>
      <c r="D89" s="322" t="s">
        <v>99</v>
      </c>
      <c r="E89" s="322" t="s">
        <v>27</v>
      </c>
      <c r="F89" s="322" t="s">
        <v>19</v>
      </c>
      <c r="G89" s="322" t="s">
        <v>18</v>
      </c>
      <c r="H89" s="322" t="s">
        <v>253</v>
      </c>
      <c r="I89" s="322" t="s">
        <v>17</v>
      </c>
      <c r="J89" s="322"/>
      <c r="K89" s="322" t="s">
        <v>100</v>
      </c>
      <c r="L89" s="322"/>
      <c r="M89" s="322"/>
      <c r="N89" s="322"/>
      <c r="O89" s="322"/>
    </row>
    <row r="90" spans="1:15" x14ac:dyDescent="0.2">
      <c r="A90" s="323">
        <v>50000</v>
      </c>
      <c r="B90" s="238">
        <v>2</v>
      </c>
      <c r="C90" s="324">
        <v>8</v>
      </c>
      <c r="D90" s="238">
        <v>6</v>
      </c>
      <c r="E90" s="238">
        <v>0.5</v>
      </c>
      <c r="F90" s="238">
        <v>0.3</v>
      </c>
      <c r="G90" s="238">
        <v>0.26</v>
      </c>
      <c r="H90" s="238">
        <v>10</v>
      </c>
      <c r="I90" s="324">
        <v>14</v>
      </c>
      <c r="J90" s="325">
        <v>5000</v>
      </c>
      <c r="K90" s="238">
        <v>24</v>
      </c>
      <c r="N90" s="326"/>
      <c r="O90" s="326"/>
    </row>
    <row r="91" spans="1:15" x14ac:dyDescent="0.2">
      <c r="A91" s="323">
        <v>100000</v>
      </c>
      <c r="B91" s="238">
        <v>1.5</v>
      </c>
      <c r="C91" s="324">
        <v>6.5</v>
      </c>
      <c r="D91" s="34">
        <v>5.3</v>
      </c>
      <c r="E91" s="34">
        <v>0.4</v>
      </c>
      <c r="F91" s="34">
        <v>0.22</v>
      </c>
      <c r="G91" s="34">
        <v>0.24</v>
      </c>
      <c r="H91" s="34">
        <v>8.8000000000000007</v>
      </c>
      <c r="I91" s="324">
        <v>12</v>
      </c>
      <c r="J91" s="325">
        <v>10000</v>
      </c>
      <c r="K91" s="238">
        <v>17</v>
      </c>
      <c r="N91" s="321"/>
      <c r="O91" s="321"/>
    </row>
    <row r="92" spans="1:15" x14ac:dyDescent="0.2">
      <c r="A92" s="323">
        <v>200000</v>
      </c>
      <c r="B92" s="238">
        <v>0.88</v>
      </c>
      <c r="C92" s="324">
        <v>5</v>
      </c>
      <c r="D92" s="34">
        <v>4.0999999999999996</v>
      </c>
      <c r="E92" s="34">
        <v>0.25</v>
      </c>
      <c r="F92" s="34">
        <v>0.15</v>
      </c>
      <c r="G92" s="34">
        <v>0.2</v>
      </c>
      <c r="H92" s="34">
        <v>7.2</v>
      </c>
      <c r="I92" s="324">
        <v>10</v>
      </c>
      <c r="J92" s="325">
        <v>20000</v>
      </c>
      <c r="K92" s="238">
        <v>14</v>
      </c>
      <c r="N92" s="321"/>
      <c r="O92" s="238"/>
    </row>
    <row r="93" spans="1:15" x14ac:dyDescent="0.2">
      <c r="A93" s="323">
        <v>300000</v>
      </c>
      <c r="B93" s="238">
        <v>0.65</v>
      </c>
      <c r="C93" s="324">
        <v>4.3499999999999996</v>
      </c>
      <c r="D93" s="34">
        <v>3.45</v>
      </c>
      <c r="E93" s="34">
        <v>0.15</v>
      </c>
      <c r="F93" s="34">
        <v>0.12</v>
      </c>
      <c r="G93" s="34">
        <v>0.18</v>
      </c>
      <c r="H93" s="34">
        <v>6.4</v>
      </c>
      <c r="I93" s="324">
        <v>9</v>
      </c>
      <c r="J93" s="325">
        <v>30000</v>
      </c>
      <c r="K93" s="238">
        <v>12.8</v>
      </c>
      <c r="N93" s="321"/>
      <c r="O93" s="238"/>
    </row>
    <row r="94" spans="1:15" x14ac:dyDescent="0.2">
      <c r="A94" s="323">
        <v>500000</v>
      </c>
      <c r="B94" s="238">
        <v>0.5</v>
      </c>
      <c r="C94" s="324">
        <v>4</v>
      </c>
      <c r="D94" s="238">
        <v>3</v>
      </c>
      <c r="E94" s="238">
        <v>7.0000000000000007E-2</v>
      </c>
      <c r="F94" s="238">
        <v>0.1</v>
      </c>
      <c r="G94" s="238">
        <v>0.14000000000000001</v>
      </c>
      <c r="H94" s="324">
        <v>6</v>
      </c>
      <c r="I94" s="324">
        <v>8</v>
      </c>
      <c r="J94" s="325">
        <v>50000</v>
      </c>
      <c r="K94" s="238">
        <v>12</v>
      </c>
      <c r="N94" s="321"/>
      <c r="O94" s="238"/>
    </row>
    <row r="95" spans="1:15" x14ac:dyDescent="0.2">
      <c r="A95" s="323">
        <v>5000000</v>
      </c>
      <c r="B95" s="238">
        <v>0.1</v>
      </c>
      <c r="C95" s="324">
        <v>3</v>
      </c>
      <c r="D95" s="238">
        <v>1.5</v>
      </c>
      <c r="E95" s="238">
        <v>0.01</v>
      </c>
      <c r="F95" s="238">
        <v>0.01</v>
      </c>
      <c r="G95" s="238">
        <v>0.05</v>
      </c>
      <c r="H95" s="324">
        <v>4</v>
      </c>
      <c r="I95" s="324">
        <v>6</v>
      </c>
      <c r="J95" s="325">
        <v>500000</v>
      </c>
      <c r="K95" s="238">
        <v>7</v>
      </c>
      <c r="N95" s="326"/>
      <c r="O95" s="238"/>
    </row>
    <row r="96" spans="1:15" x14ac:dyDescent="0.2">
      <c r="A96" s="323">
        <v>50000000</v>
      </c>
      <c r="B96" s="238">
        <v>0.05</v>
      </c>
      <c r="C96" s="324">
        <v>2</v>
      </c>
      <c r="D96" s="324">
        <v>1</v>
      </c>
      <c r="E96" s="238">
        <v>0.01</v>
      </c>
      <c r="F96" s="238">
        <v>0.01</v>
      </c>
      <c r="G96" s="238">
        <v>2.5000000000000001E-2</v>
      </c>
      <c r="H96" s="324">
        <v>2</v>
      </c>
      <c r="I96" s="324">
        <v>4</v>
      </c>
      <c r="J96" s="325">
        <v>5000000</v>
      </c>
      <c r="K96" s="324">
        <v>4</v>
      </c>
      <c r="N96" s="326"/>
      <c r="O96" s="324"/>
    </row>
    <row r="97" spans="4:13" x14ac:dyDescent="0.2">
      <c r="D97" s="327"/>
      <c r="E97" s="328"/>
      <c r="F97" s="327"/>
      <c r="G97" s="327"/>
      <c r="H97" s="327"/>
      <c r="I97" s="327"/>
      <c r="M97" s="327"/>
    </row>
    <row r="153" spans="1:11" ht="18" x14ac:dyDescent="0.25">
      <c r="A153" s="335" t="s">
        <v>249</v>
      </c>
      <c r="B153" s="335"/>
      <c r="C153" s="335"/>
      <c r="D153" s="335"/>
      <c r="E153" s="335"/>
      <c r="F153" s="335"/>
      <c r="G153" s="335"/>
      <c r="H153" s="335"/>
      <c r="I153" s="335"/>
      <c r="J153" s="335"/>
      <c r="K153" s="335"/>
    </row>
    <row r="155" spans="1:11" x14ac:dyDescent="0.2">
      <c r="A155" s="34" t="s">
        <v>241</v>
      </c>
      <c r="B155" s="34" t="s">
        <v>57</v>
      </c>
      <c r="C155" s="34" t="s">
        <v>91</v>
      </c>
      <c r="D155" s="34" t="s">
        <v>92</v>
      </c>
      <c r="E155" s="34" t="s">
        <v>58</v>
      </c>
    </row>
    <row r="156" spans="1:11" x14ac:dyDescent="0.2">
      <c r="A156" s="56">
        <v>10000</v>
      </c>
      <c r="B156" s="329">
        <v>18</v>
      </c>
      <c r="C156" s="329">
        <v>24.55</v>
      </c>
      <c r="D156" s="329">
        <v>30.69</v>
      </c>
      <c r="E156" s="329">
        <v>37</v>
      </c>
      <c r="G156" s="330" t="s">
        <v>242</v>
      </c>
      <c r="H156" s="330"/>
      <c r="I156" s="330">
        <f>IFERROR(MATCH(NU!$J$16,PODATKI!$A$155:$E$155),"")</f>
        <v>4</v>
      </c>
    </row>
    <row r="157" spans="1:11" x14ac:dyDescent="0.2">
      <c r="A157" s="56">
        <v>15000</v>
      </c>
      <c r="B157" s="329">
        <v>25</v>
      </c>
      <c r="C157" s="329">
        <v>33.700000000000003</v>
      </c>
      <c r="D157" s="329">
        <v>42.1</v>
      </c>
      <c r="E157" s="329">
        <v>50</v>
      </c>
      <c r="G157" s="330" t="s">
        <v>244</v>
      </c>
      <c r="H157" s="330"/>
      <c r="I157" s="330" t="str">
        <f>IFERROR(IF(NU!$J$16=PODATKI!$B$155,MATCH($I$159,PODATKI!$B$156:$B$203,0),IF(NU!$J$16=PODATKI!$C$155,MATCH($I$159,PODATKI!$C$156:$C$203,0),IF(NU!$J$16=PODATKI!$D$155,MATCH($I$159,PODATKI!$D$156:$D$203,0),MATCH($I$159,PODATKI!$E$156:$E$203,0)))),"")</f>
        <v/>
      </c>
    </row>
    <row r="158" spans="1:11" x14ac:dyDescent="0.2">
      <c r="A158" s="56">
        <v>20000</v>
      </c>
      <c r="B158" s="329">
        <v>32</v>
      </c>
      <c r="C158" s="329">
        <v>42.3</v>
      </c>
      <c r="D158" s="329">
        <v>52.81</v>
      </c>
      <c r="E158" s="329">
        <v>63</v>
      </c>
      <c r="G158" s="331" t="s">
        <v>246</v>
      </c>
      <c r="H158" s="332"/>
      <c r="I158" s="330" t="str">
        <f>IFERROR(IF(NU!$Q$21-I161&lt;0,I157-1,I157+1),"")</f>
        <v/>
      </c>
    </row>
    <row r="159" spans="1:11" x14ac:dyDescent="0.2">
      <c r="A159" s="56">
        <v>30000</v>
      </c>
      <c r="B159" s="329">
        <v>44</v>
      </c>
      <c r="C159" s="329">
        <v>57.99</v>
      </c>
      <c r="D159" s="329">
        <v>72.39</v>
      </c>
      <c r="E159" s="329">
        <v>87</v>
      </c>
      <c r="G159" s="331" t="s">
        <v>243</v>
      </c>
      <c r="H159" s="332"/>
      <c r="I159" s="330" t="str">
        <f>IFERROR(VLOOKUP(NU!$Q$21,PODATKI!$A$156:$E$203,$I$156,TRUE),"")</f>
        <v/>
      </c>
    </row>
    <row r="160" spans="1:11" x14ac:dyDescent="0.2">
      <c r="A160" s="56">
        <v>40000</v>
      </c>
      <c r="B160" s="329">
        <v>54</v>
      </c>
      <c r="C160" s="329">
        <v>72.44</v>
      </c>
      <c r="D160" s="329">
        <v>90.44</v>
      </c>
      <c r="E160" s="329">
        <v>108</v>
      </c>
      <c r="G160" s="331" t="s">
        <v>247</v>
      </c>
      <c r="H160" s="332"/>
      <c r="I160" s="330" t="str">
        <f>IFERROR(INDEX(A156:E203,I158,I156),"")</f>
        <v/>
      </c>
    </row>
    <row r="161" spans="1:9" x14ac:dyDescent="0.2">
      <c r="A161" s="56">
        <v>45000</v>
      </c>
      <c r="B161" s="329">
        <v>59</v>
      </c>
      <c r="C161" s="329">
        <v>79.09</v>
      </c>
      <c r="D161" s="329">
        <v>98.76</v>
      </c>
      <c r="E161" s="329">
        <v>118</v>
      </c>
      <c r="G161" s="331" t="s">
        <v>245</v>
      </c>
      <c r="H161" s="332"/>
      <c r="I161" s="331" t="str">
        <f>IFERROR(INDEX(PODATKI!$A$156:$E$203,I157,1),"")</f>
        <v/>
      </c>
    </row>
    <row r="162" spans="1:9" x14ac:dyDescent="0.2">
      <c r="A162" s="56">
        <v>50000</v>
      </c>
      <c r="B162" s="329">
        <v>64</v>
      </c>
      <c r="C162" s="329">
        <v>85.7</v>
      </c>
      <c r="D162" s="329">
        <v>107.03</v>
      </c>
      <c r="E162" s="329">
        <v>128</v>
      </c>
      <c r="G162" s="331" t="s">
        <v>248</v>
      </c>
      <c r="H162" s="330"/>
      <c r="I162" s="331" t="str">
        <f>IFERROR(INDEX(A156:E203,I158,1),"")</f>
        <v/>
      </c>
    </row>
    <row r="163" spans="1:9" x14ac:dyDescent="0.2">
      <c r="A163" s="56">
        <v>60000</v>
      </c>
      <c r="B163" s="329">
        <v>74</v>
      </c>
      <c r="C163" s="329">
        <v>98.86</v>
      </c>
      <c r="D163" s="329">
        <v>123.46</v>
      </c>
      <c r="E163" s="329">
        <v>148</v>
      </c>
      <c r="G163" s="56"/>
      <c r="H163" s="327"/>
    </row>
    <row r="164" spans="1:9" x14ac:dyDescent="0.2">
      <c r="A164" s="56">
        <v>70000</v>
      </c>
      <c r="B164" s="329">
        <v>83</v>
      </c>
      <c r="C164" s="329">
        <v>110.87</v>
      </c>
      <c r="D164" s="329">
        <v>138.44999999999999</v>
      </c>
      <c r="E164" s="329">
        <v>166</v>
      </c>
      <c r="G164" s="56"/>
      <c r="H164" s="327"/>
    </row>
    <row r="165" spans="1:9" x14ac:dyDescent="0.2">
      <c r="A165" s="56">
        <v>80000</v>
      </c>
      <c r="B165" s="329">
        <v>93</v>
      </c>
      <c r="C165" s="329">
        <v>123.46</v>
      </c>
      <c r="D165" s="329">
        <v>154.4</v>
      </c>
      <c r="E165" s="329">
        <v>185</v>
      </c>
      <c r="G165" s="56"/>
      <c r="H165" s="327"/>
    </row>
    <row r="166" spans="1:9" x14ac:dyDescent="0.2">
      <c r="A166" s="56">
        <v>90000</v>
      </c>
      <c r="B166" s="329">
        <v>101</v>
      </c>
      <c r="C166" s="329">
        <v>133.69999999999999</v>
      </c>
      <c r="D166" s="329">
        <v>166.63</v>
      </c>
      <c r="E166" s="329">
        <v>200</v>
      </c>
      <c r="G166" s="56"/>
      <c r="H166" s="327"/>
    </row>
    <row r="167" spans="1:9" x14ac:dyDescent="0.2">
      <c r="A167" s="56">
        <v>100000</v>
      </c>
      <c r="B167" s="329">
        <v>110</v>
      </c>
      <c r="C167" s="329">
        <v>145.91999999999999</v>
      </c>
      <c r="D167" s="329">
        <v>182.26</v>
      </c>
      <c r="E167" s="329">
        <v>219</v>
      </c>
      <c r="G167" s="56"/>
      <c r="H167" s="327"/>
    </row>
    <row r="168" spans="1:9" x14ac:dyDescent="0.2">
      <c r="A168" s="56">
        <v>120000</v>
      </c>
      <c r="B168" s="329">
        <v>126</v>
      </c>
      <c r="C168" s="329">
        <v>167.29</v>
      </c>
      <c r="D168" s="329">
        <v>209.06</v>
      </c>
      <c r="E168" s="329">
        <v>251</v>
      </c>
      <c r="G168" s="56"/>
      <c r="H168" s="327"/>
    </row>
    <row r="169" spans="1:9" x14ac:dyDescent="0.2">
      <c r="A169" s="56">
        <v>150000</v>
      </c>
      <c r="B169" s="329">
        <v>148</v>
      </c>
      <c r="C169" s="329">
        <v>197.42</v>
      </c>
      <c r="D169" s="329">
        <v>246.78</v>
      </c>
      <c r="E169" s="329">
        <v>296</v>
      </c>
      <c r="G169" s="56"/>
      <c r="H169" s="327"/>
    </row>
    <row r="170" spans="1:9" x14ac:dyDescent="0.2">
      <c r="A170" s="56">
        <v>180000</v>
      </c>
      <c r="B170" s="329">
        <v>170</v>
      </c>
      <c r="C170" s="329">
        <v>226.85</v>
      </c>
      <c r="D170" s="329">
        <v>283.64999999999998</v>
      </c>
      <c r="E170" s="329">
        <v>340</v>
      </c>
      <c r="G170" s="56"/>
      <c r="H170" s="327"/>
    </row>
    <row r="171" spans="1:9" x14ac:dyDescent="0.2">
      <c r="A171" s="56">
        <v>200000</v>
      </c>
      <c r="B171" s="329">
        <v>184</v>
      </c>
      <c r="C171" s="329">
        <v>245.55</v>
      </c>
      <c r="D171" s="329">
        <v>306.94</v>
      </c>
      <c r="E171" s="329">
        <v>368</v>
      </c>
      <c r="G171" s="56"/>
      <c r="H171" s="327"/>
    </row>
    <row r="172" spans="1:9" x14ac:dyDescent="0.2">
      <c r="A172" s="56">
        <v>210000</v>
      </c>
      <c r="B172" s="329">
        <v>191</v>
      </c>
      <c r="C172" s="329">
        <v>254.73</v>
      </c>
      <c r="D172" s="329">
        <v>318.42</v>
      </c>
      <c r="E172" s="329">
        <v>382</v>
      </c>
      <c r="G172" s="56"/>
      <c r="H172" s="327"/>
    </row>
    <row r="173" spans="1:9" x14ac:dyDescent="0.2">
      <c r="A173" s="56">
        <v>240000</v>
      </c>
      <c r="B173" s="329">
        <v>211</v>
      </c>
      <c r="C173" s="329">
        <v>281.10000000000002</v>
      </c>
      <c r="D173" s="329">
        <v>351.38</v>
      </c>
      <c r="E173" s="329">
        <v>422</v>
      </c>
      <c r="G173" s="56"/>
      <c r="H173" s="327"/>
    </row>
    <row r="174" spans="1:9" x14ac:dyDescent="0.2">
      <c r="A174" s="56">
        <v>270000</v>
      </c>
      <c r="B174" s="329">
        <v>229</v>
      </c>
      <c r="C174" s="329">
        <v>305.8</v>
      </c>
      <c r="D174" s="329">
        <v>382.38</v>
      </c>
      <c r="E174" s="329">
        <v>459</v>
      </c>
      <c r="G174" s="56"/>
      <c r="H174" s="327"/>
    </row>
    <row r="175" spans="1:9" x14ac:dyDescent="0.2">
      <c r="A175" s="56">
        <v>300000</v>
      </c>
      <c r="B175" s="329">
        <v>248</v>
      </c>
      <c r="C175" s="329">
        <v>330.39</v>
      </c>
      <c r="D175" s="329">
        <v>413.26</v>
      </c>
      <c r="E175" s="329">
        <v>496</v>
      </c>
      <c r="G175" s="56"/>
      <c r="H175" s="327"/>
    </row>
    <row r="176" spans="1:9" x14ac:dyDescent="0.2">
      <c r="A176" s="56">
        <v>375000</v>
      </c>
      <c r="B176" s="329">
        <v>290</v>
      </c>
      <c r="C176" s="329">
        <v>387.2</v>
      </c>
      <c r="D176" s="329">
        <v>484.35</v>
      </c>
      <c r="E176" s="329">
        <v>581</v>
      </c>
      <c r="G176" s="56"/>
      <c r="H176" s="327"/>
    </row>
    <row r="177" spans="1:8" x14ac:dyDescent="0.2">
      <c r="A177" s="56">
        <v>400000</v>
      </c>
      <c r="B177" s="329">
        <v>306</v>
      </c>
      <c r="C177" s="329">
        <v>409.09</v>
      </c>
      <c r="D177" s="329">
        <v>511.72</v>
      </c>
      <c r="E177" s="329">
        <v>614</v>
      </c>
      <c r="G177" s="56"/>
      <c r="H177" s="327"/>
    </row>
    <row r="178" spans="1:8" x14ac:dyDescent="0.2">
      <c r="A178" s="56">
        <v>450000</v>
      </c>
      <c r="B178" s="329">
        <v>333</v>
      </c>
      <c r="C178" s="329">
        <v>444.75</v>
      </c>
      <c r="D178" s="329">
        <v>556.35</v>
      </c>
      <c r="E178" s="329">
        <v>668</v>
      </c>
      <c r="G178" s="56"/>
      <c r="H178" s="327"/>
    </row>
    <row r="179" spans="1:8" x14ac:dyDescent="0.2">
      <c r="A179" s="56">
        <v>500000</v>
      </c>
      <c r="B179" s="329">
        <v>360</v>
      </c>
      <c r="C179" s="329">
        <v>480.36</v>
      </c>
      <c r="D179" s="329">
        <v>600.67999999999995</v>
      </c>
      <c r="E179" s="329">
        <v>721</v>
      </c>
      <c r="G179" s="56"/>
      <c r="H179" s="327"/>
    </row>
    <row r="180" spans="1:8" x14ac:dyDescent="0.2">
      <c r="A180" s="56">
        <v>525000</v>
      </c>
      <c r="B180" s="329">
        <v>373</v>
      </c>
      <c r="C180" s="329">
        <v>498.25</v>
      </c>
      <c r="D180" s="329">
        <v>623.29999999999995</v>
      </c>
      <c r="E180" s="329">
        <v>748</v>
      </c>
      <c r="G180" s="56"/>
      <c r="H180" s="327"/>
    </row>
    <row r="181" spans="1:8" x14ac:dyDescent="0.2">
      <c r="A181" s="56">
        <v>600000</v>
      </c>
      <c r="B181" s="329">
        <v>412</v>
      </c>
      <c r="C181" s="329">
        <v>549.91</v>
      </c>
      <c r="D181" s="329">
        <v>687.66</v>
      </c>
      <c r="E181" s="329">
        <v>825</v>
      </c>
      <c r="G181" s="56"/>
      <c r="H181" s="327"/>
    </row>
    <row r="182" spans="1:8" x14ac:dyDescent="0.2">
      <c r="A182" s="56">
        <v>700000</v>
      </c>
      <c r="B182" s="329">
        <v>459</v>
      </c>
      <c r="C182" s="329">
        <v>612.34</v>
      </c>
      <c r="D182" s="329">
        <v>765.75</v>
      </c>
      <c r="E182" s="329">
        <v>919</v>
      </c>
      <c r="G182" s="56"/>
      <c r="H182" s="327"/>
    </row>
    <row r="183" spans="1:8" x14ac:dyDescent="0.2">
      <c r="A183" s="56">
        <v>750000</v>
      </c>
      <c r="B183" s="329">
        <v>485</v>
      </c>
      <c r="C183" s="329">
        <v>646.41</v>
      </c>
      <c r="D183" s="329">
        <v>808.01</v>
      </c>
      <c r="E183" s="329">
        <v>970</v>
      </c>
      <c r="G183" s="56"/>
      <c r="H183" s="327"/>
    </row>
    <row r="184" spans="1:8" x14ac:dyDescent="0.2">
      <c r="A184" s="56">
        <v>800000</v>
      </c>
      <c r="B184" s="329">
        <v>507</v>
      </c>
      <c r="C184" s="329">
        <v>676.24</v>
      </c>
      <c r="D184" s="329">
        <v>845.67</v>
      </c>
      <c r="E184" s="329">
        <v>1015</v>
      </c>
      <c r="G184" s="56"/>
      <c r="H184" s="327"/>
    </row>
    <row r="185" spans="1:8" x14ac:dyDescent="0.2">
      <c r="A185" s="56">
        <v>900000</v>
      </c>
      <c r="B185" s="329">
        <v>550</v>
      </c>
      <c r="C185" s="329">
        <v>733.7</v>
      </c>
      <c r="D185" s="329">
        <v>917.13</v>
      </c>
      <c r="E185" s="329">
        <v>1101</v>
      </c>
      <c r="G185" s="56"/>
      <c r="H185" s="327"/>
    </row>
    <row r="186" spans="1:8" x14ac:dyDescent="0.2">
      <c r="A186" s="56">
        <v>1000000</v>
      </c>
      <c r="B186" s="329">
        <v>597</v>
      </c>
      <c r="C186" s="329">
        <v>794.35</v>
      </c>
      <c r="D186" s="329">
        <v>992.02</v>
      </c>
      <c r="E186" s="329">
        <v>1190</v>
      </c>
      <c r="G186" s="56"/>
      <c r="H186" s="327"/>
    </row>
    <row r="187" spans="1:8" x14ac:dyDescent="0.2">
      <c r="A187" s="56">
        <v>1050000</v>
      </c>
      <c r="B187" s="329">
        <v>617</v>
      </c>
      <c r="C187" s="329">
        <v>821.82</v>
      </c>
      <c r="D187" s="329">
        <v>1026.8</v>
      </c>
      <c r="E187" s="329">
        <v>1232</v>
      </c>
      <c r="G187" s="56"/>
      <c r="H187" s="327"/>
    </row>
    <row r="188" spans="1:8" x14ac:dyDescent="0.2">
      <c r="A188" s="56">
        <v>1200000</v>
      </c>
      <c r="B188" s="329">
        <v>678</v>
      </c>
      <c r="C188" s="329">
        <v>903.13</v>
      </c>
      <c r="D188" s="329">
        <v>1127.81</v>
      </c>
      <c r="E188" s="329">
        <v>1352</v>
      </c>
      <c r="G188" s="56"/>
      <c r="H188" s="327"/>
    </row>
    <row r="189" spans="1:8" x14ac:dyDescent="0.2">
      <c r="A189" s="56">
        <v>1350000</v>
      </c>
      <c r="B189" s="329">
        <v>738</v>
      </c>
      <c r="C189" s="329">
        <v>982.04</v>
      </c>
      <c r="D189" s="329">
        <v>1225.69</v>
      </c>
      <c r="E189" s="329">
        <v>1469</v>
      </c>
      <c r="G189" s="56"/>
      <c r="H189" s="327"/>
    </row>
    <row r="190" spans="1:8" x14ac:dyDescent="0.2">
      <c r="A190" s="56">
        <v>1400000</v>
      </c>
      <c r="B190" s="329">
        <v>758</v>
      </c>
      <c r="C190" s="329">
        <v>1008.1</v>
      </c>
      <c r="D190" s="329">
        <v>1258.2</v>
      </c>
      <c r="E190" s="329">
        <v>1508</v>
      </c>
      <c r="G190" s="56"/>
      <c r="H190" s="327"/>
    </row>
    <row r="191" spans="1:8" x14ac:dyDescent="0.2">
      <c r="A191" s="56">
        <v>1500000</v>
      </c>
      <c r="B191" s="329">
        <v>796</v>
      </c>
      <c r="C191" s="329">
        <v>1056.17</v>
      </c>
      <c r="D191" s="329">
        <v>1316.76</v>
      </c>
      <c r="E191" s="329">
        <v>1577</v>
      </c>
      <c r="G191" s="56"/>
      <c r="H191" s="327"/>
    </row>
    <row r="192" spans="1:8" x14ac:dyDescent="0.2">
      <c r="A192" s="56">
        <v>1600000</v>
      </c>
      <c r="B192" s="329">
        <v>834</v>
      </c>
      <c r="C192" s="329">
        <v>1107.92</v>
      </c>
      <c r="D192" s="329">
        <v>1381.95</v>
      </c>
      <c r="E192" s="329">
        <v>1656</v>
      </c>
      <c r="G192" s="56"/>
      <c r="H192" s="327"/>
    </row>
    <row r="193" spans="1:8" x14ac:dyDescent="0.2">
      <c r="A193" s="56">
        <v>1800000</v>
      </c>
      <c r="B193" s="329">
        <v>908</v>
      </c>
      <c r="C193" s="329">
        <v>1204.42</v>
      </c>
      <c r="D193" s="329">
        <v>1500.55</v>
      </c>
      <c r="E193" s="329">
        <v>1797</v>
      </c>
      <c r="G193" s="56"/>
      <c r="H193" s="327"/>
    </row>
    <row r="194" spans="1:8" x14ac:dyDescent="0.2">
      <c r="A194" s="56">
        <v>2000000</v>
      </c>
      <c r="B194" s="329">
        <v>983</v>
      </c>
      <c r="C194" s="329">
        <v>1298.96</v>
      </c>
      <c r="D194" s="329">
        <v>1614.49</v>
      </c>
      <c r="E194" s="329">
        <v>1930</v>
      </c>
      <c r="G194" s="56"/>
      <c r="H194" s="327"/>
    </row>
    <row r="195" spans="1:8" x14ac:dyDescent="0.2">
      <c r="A195" s="56">
        <v>2100000</v>
      </c>
      <c r="B195" s="329">
        <v>1017</v>
      </c>
      <c r="C195" s="329">
        <v>1344.57</v>
      </c>
      <c r="D195" s="329">
        <v>1672.01</v>
      </c>
      <c r="E195" s="329">
        <v>1999</v>
      </c>
      <c r="G195" s="56"/>
      <c r="H195" s="327"/>
    </row>
    <row r="196" spans="1:8" x14ac:dyDescent="0.2">
      <c r="A196" s="56">
        <v>2400000</v>
      </c>
      <c r="B196" s="329">
        <v>1118</v>
      </c>
      <c r="C196" s="329">
        <v>1474.77</v>
      </c>
      <c r="D196" s="329">
        <v>1831.31</v>
      </c>
      <c r="E196" s="329">
        <v>2188</v>
      </c>
      <c r="G196" s="56"/>
      <c r="H196" s="327"/>
    </row>
    <row r="197" spans="1:8" x14ac:dyDescent="0.2">
      <c r="A197" s="56">
        <v>2500000</v>
      </c>
      <c r="B197" s="329">
        <v>1137</v>
      </c>
      <c r="C197" s="329">
        <v>1496.32</v>
      </c>
      <c r="D197" s="329">
        <v>1855.43</v>
      </c>
      <c r="E197" s="329">
        <v>2215</v>
      </c>
      <c r="G197" s="56"/>
      <c r="H197" s="327"/>
    </row>
    <row r="198" spans="1:8" x14ac:dyDescent="0.2">
      <c r="A198" s="56">
        <v>2700000</v>
      </c>
      <c r="B198" s="329">
        <v>1208</v>
      </c>
      <c r="C198" s="329">
        <v>1589.5</v>
      </c>
      <c r="D198" s="329">
        <v>1970.72</v>
      </c>
      <c r="E198" s="329">
        <v>2352</v>
      </c>
      <c r="G198" s="56"/>
      <c r="H198" s="327"/>
    </row>
    <row r="199" spans="1:8" x14ac:dyDescent="0.2">
      <c r="A199" s="56">
        <v>3000000</v>
      </c>
      <c r="B199" s="329">
        <v>1309</v>
      </c>
      <c r="C199" s="329">
        <v>1720.07</v>
      </c>
      <c r="D199" s="329">
        <v>2130.7600000000002</v>
      </c>
      <c r="E199" s="329">
        <v>2541</v>
      </c>
      <c r="G199" s="56"/>
      <c r="H199" s="327"/>
    </row>
    <row r="200" spans="1:8" x14ac:dyDescent="0.2">
      <c r="A200" s="56">
        <v>3300000</v>
      </c>
      <c r="B200" s="329">
        <v>1410</v>
      </c>
      <c r="C200" s="329">
        <v>1845.49</v>
      </c>
      <c r="D200" s="329">
        <v>2281.0300000000002</v>
      </c>
      <c r="E200" s="329">
        <v>2717</v>
      </c>
      <c r="G200" s="56"/>
      <c r="H200" s="327"/>
    </row>
    <row r="201" spans="1:8" x14ac:dyDescent="0.2">
      <c r="A201" s="56">
        <v>3600000</v>
      </c>
      <c r="B201" s="329">
        <v>1498</v>
      </c>
      <c r="C201" s="329">
        <v>1958.01</v>
      </c>
      <c r="D201" s="329">
        <v>2417.6799999999998</v>
      </c>
      <c r="E201" s="329">
        <v>2877</v>
      </c>
      <c r="G201" s="56"/>
      <c r="H201" s="327"/>
    </row>
    <row r="202" spans="1:8" x14ac:dyDescent="0.2">
      <c r="A202" s="56">
        <v>3900000</v>
      </c>
      <c r="B202" s="329">
        <v>1587</v>
      </c>
      <c r="C202" s="329">
        <v>2070.9</v>
      </c>
      <c r="D202" s="329">
        <v>2554.5100000000002</v>
      </c>
      <c r="E202" s="329">
        <v>3038</v>
      </c>
      <c r="G202" s="56"/>
      <c r="H202" s="327"/>
    </row>
    <row r="203" spans="1:8" x14ac:dyDescent="0.2">
      <c r="A203" s="56">
        <v>4000000</v>
      </c>
      <c r="B203" s="329">
        <v>1621</v>
      </c>
      <c r="C203" s="329">
        <v>2111.7199999999998</v>
      </c>
      <c r="D203" s="329">
        <v>2602.8200000000002</v>
      </c>
      <c r="E203" s="329">
        <v>3094</v>
      </c>
      <c r="G203" s="56"/>
      <c r="H203" s="327"/>
    </row>
    <row r="225" spans="1:11" ht="18" x14ac:dyDescent="0.25">
      <c r="A225" s="335" t="s">
        <v>250</v>
      </c>
      <c r="B225" s="335"/>
      <c r="C225" s="335"/>
      <c r="D225" s="335"/>
      <c r="E225" s="335"/>
      <c r="F225" s="335"/>
      <c r="G225" s="335"/>
      <c r="H225" s="335"/>
      <c r="I225" s="335"/>
      <c r="J225" s="335"/>
      <c r="K225" s="335"/>
    </row>
    <row r="227" spans="1:11" x14ac:dyDescent="0.2">
      <c r="A227" s="34" t="s">
        <v>241</v>
      </c>
      <c r="B227" s="34" t="s">
        <v>57</v>
      </c>
      <c r="C227" s="34" t="s">
        <v>91</v>
      </c>
      <c r="D227" s="34" t="s">
        <v>92</v>
      </c>
      <c r="E227" s="34" t="s">
        <v>58</v>
      </c>
    </row>
    <row r="228" spans="1:11" x14ac:dyDescent="0.2">
      <c r="A228" s="56">
        <v>10000</v>
      </c>
      <c r="B228" s="333">
        <v>11.2</v>
      </c>
      <c r="C228" s="333">
        <v>13.7</v>
      </c>
      <c r="D228" s="333">
        <v>16.2</v>
      </c>
      <c r="E228" s="333">
        <v>18.600000000000001</v>
      </c>
      <c r="F228" s="238"/>
      <c r="G228" s="330" t="s">
        <v>242</v>
      </c>
      <c r="H228" s="330"/>
      <c r="I228" s="330">
        <f>MATCH(NU!$G$16,$A$227:$E$227,0)</f>
        <v>5</v>
      </c>
    </row>
    <row r="229" spans="1:11" x14ac:dyDescent="0.2">
      <c r="A229" s="56">
        <v>20000</v>
      </c>
      <c r="B229" s="333">
        <v>22.5</v>
      </c>
      <c r="C229" s="333">
        <v>27.3</v>
      </c>
      <c r="D229" s="333">
        <v>32.4</v>
      </c>
      <c r="E229" s="333">
        <v>37.200000000000003</v>
      </c>
      <c r="F229" s="238"/>
      <c r="G229" s="330" t="s">
        <v>244</v>
      </c>
      <c r="H229" s="330"/>
      <c r="I229" s="330" t="str">
        <f>IFERROR(IF(NU!$G$16=PODATKI!$B$227,MATCH($I$231,PODATKI!$B$228:$B$265,0),IF(NU!$G$16=PODATKI!$C$227,MATCH($I$231,PODATKI!$C$228:$C$265,0),IF(NU!$G$16=PODATKI!$D$227,MATCH($I$231,PODATKI!$D$228:$D$265,0),MATCH($I$231,PODATKI!$E$228:$E$265,0)))),"")</f>
        <v/>
      </c>
    </row>
    <row r="230" spans="1:11" x14ac:dyDescent="0.2">
      <c r="A230" s="56">
        <v>30000</v>
      </c>
      <c r="B230" s="333">
        <v>33.700000000000003</v>
      </c>
      <c r="C230" s="333">
        <v>41</v>
      </c>
      <c r="D230" s="333">
        <v>48.6</v>
      </c>
      <c r="E230" s="333">
        <v>55.8</v>
      </c>
      <c r="F230" s="238"/>
      <c r="G230" s="331" t="s">
        <v>246</v>
      </c>
      <c r="H230" s="332"/>
      <c r="I230" s="330" t="str">
        <f>IFERROR(IF(NU!$Q$21-I233&lt;0,I229-1,I229+1),"")</f>
        <v/>
      </c>
    </row>
    <row r="231" spans="1:11" x14ac:dyDescent="0.2">
      <c r="A231" s="56">
        <v>40000</v>
      </c>
      <c r="B231" s="333">
        <v>44.9</v>
      </c>
      <c r="C231" s="333">
        <v>54.6</v>
      </c>
      <c r="D231" s="333">
        <v>64.7</v>
      </c>
      <c r="E231" s="333">
        <v>74.400000000000006</v>
      </c>
      <c r="F231" s="238"/>
      <c r="G231" s="331" t="s">
        <v>243</v>
      </c>
      <c r="H231" s="332"/>
      <c r="I231" s="330">
        <f>IFERROR(VLOOKUP(NU!$Q$20,A228:E265,$I$228,TRUE),0)</f>
        <v>0</v>
      </c>
    </row>
    <row r="232" spans="1:11" x14ac:dyDescent="0.2">
      <c r="A232" s="56">
        <v>50000</v>
      </c>
      <c r="B232" s="333">
        <v>56.1</v>
      </c>
      <c r="C232" s="333">
        <v>68.3</v>
      </c>
      <c r="D232" s="333">
        <v>80.900000000000006</v>
      </c>
      <c r="E232" s="333">
        <v>93.1</v>
      </c>
      <c r="F232" s="238"/>
      <c r="G232" s="331" t="s">
        <v>247</v>
      </c>
      <c r="H232" s="332"/>
      <c r="I232" s="330">
        <f>IFERROR(INDEX(A228:E275,I230,I228),0)</f>
        <v>0</v>
      </c>
    </row>
    <row r="233" spans="1:11" x14ac:dyDescent="0.2">
      <c r="A233" s="56">
        <v>75000</v>
      </c>
      <c r="B233" s="333">
        <v>83.3</v>
      </c>
      <c r="C233" s="333">
        <v>101.4</v>
      </c>
      <c r="D233" s="333">
        <v>120</v>
      </c>
      <c r="E233" s="333">
        <v>138</v>
      </c>
      <c r="F233" s="238"/>
      <c r="G233" s="331" t="s">
        <v>245</v>
      </c>
      <c r="H233" s="332"/>
      <c r="I233" s="331">
        <f>IFERROR(INDEX(PODATKI!$A$228:$E$265,I229,1),0)</f>
        <v>0</v>
      </c>
    </row>
    <row r="234" spans="1:11" x14ac:dyDescent="0.2">
      <c r="A234" s="56">
        <v>100000</v>
      </c>
      <c r="B234" s="333">
        <v>109.8</v>
      </c>
      <c r="C234" s="333">
        <v>133.69999999999999</v>
      </c>
      <c r="D234" s="333">
        <v>158.1</v>
      </c>
      <c r="E234" s="333">
        <v>181.9</v>
      </c>
      <c r="F234" s="238"/>
      <c r="G234" s="331" t="s">
        <v>248</v>
      </c>
      <c r="H234" s="330"/>
      <c r="I234" s="331">
        <f>IFERROR(INDEX(A228:E265,I230,1),0)</f>
        <v>0</v>
      </c>
    </row>
    <row r="235" spans="1:11" x14ac:dyDescent="0.2">
      <c r="A235" s="56">
        <v>150000</v>
      </c>
      <c r="B235" s="333">
        <v>161.1</v>
      </c>
      <c r="C235" s="333">
        <v>196.2</v>
      </c>
      <c r="D235" s="333">
        <v>231.5</v>
      </c>
      <c r="E235" s="333">
        <v>266.60000000000002</v>
      </c>
      <c r="F235" s="238"/>
      <c r="G235" s="238"/>
      <c r="H235" s="238"/>
    </row>
    <row r="236" spans="1:11" x14ac:dyDescent="0.2">
      <c r="A236" s="56">
        <v>200000</v>
      </c>
      <c r="B236" s="333">
        <v>210.1</v>
      </c>
      <c r="C236" s="333">
        <v>255.7</v>
      </c>
      <c r="D236" s="333">
        <v>301.3</v>
      </c>
      <c r="E236" s="333">
        <v>347</v>
      </c>
      <c r="F236" s="238"/>
      <c r="G236" s="238"/>
      <c r="H236" s="238"/>
    </row>
    <row r="237" spans="1:11" x14ac:dyDescent="0.2">
      <c r="A237" s="56">
        <v>250000</v>
      </c>
      <c r="B237" s="333">
        <v>256.7</v>
      </c>
      <c r="C237" s="333">
        <v>312.2</v>
      </c>
      <c r="D237" s="333">
        <v>367.5</v>
      </c>
      <c r="E237" s="333">
        <v>423</v>
      </c>
      <c r="F237" s="238"/>
      <c r="G237" s="238"/>
      <c r="H237" s="238"/>
    </row>
    <row r="238" spans="1:11" x14ac:dyDescent="0.2">
      <c r="A238" s="56">
        <v>300000</v>
      </c>
      <c r="B238" s="333">
        <v>301</v>
      </c>
      <c r="C238" s="333">
        <v>365.8</v>
      </c>
      <c r="D238" s="333">
        <v>430</v>
      </c>
      <c r="E238" s="333">
        <v>494.7</v>
      </c>
      <c r="F238" s="238"/>
      <c r="G238" s="238"/>
      <c r="H238" s="238"/>
    </row>
    <row r="239" spans="1:11" x14ac:dyDescent="0.2">
      <c r="A239" s="56">
        <v>350000</v>
      </c>
      <c r="B239" s="333">
        <v>342.7</v>
      </c>
      <c r="C239" s="333">
        <v>416.2</v>
      </c>
      <c r="D239" s="333">
        <v>488.9</v>
      </c>
      <c r="E239" s="333">
        <v>562.4</v>
      </c>
      <c r="F239" s="238"/>
      <c r="G239" s="238"/>
      <c r="H239" s="238"/>
    </row>
    <row r="240" spans="1:11" x14ac:dyDescent="0.2">
      <c r="A240" s="56">
        <v>400000</v>
      </c>
      <c r="B240" s="333">
        <v>382</v>
      </c>
      <c r="C240" s="333">
        <v>463.6</v>
      </c>
      <c r="D240" s="333">
        <v>544.29999999999995</v>
      </c>
      <c r="E240" s="333">
        <v>625.9</v>
      </c>
      <c r="F240" s="238"/>
      <c r="G240" s="238"/>
      <c r="H240" s="238"/>
    </row>
    <row r="241" spans="1:8" x14ac:dyDescent="0.2">
      <c r="A241" s="56">
        <v>450000</v>
      </c>
      <c r="B241" s="333">
        <v>419.3</v>
      </c>
      <c r="C241" s="333">
        <v>508.2</v>
      </c>
      <c r="D241" s="333">
        <v>595.9</v>
      </c>
      <c r="E241" s="333">
        <v>684.8</v>
      </c>
      <c r="F241" s="238"/>
      <c r="G241" s="238"/>
      <c r="H241" s="238"/>
    </row>
    <row r="242" spans="1:8" x14ac:dyDescent="0.2">
      <c r="A242" s="56">
        <v>500000</v>
      </c>
      <c r="B242" s="333">
        <v>454.2</v>
      </c>
      <c r="C242" s="333">
        <v>549.70000000000005</v>
      </c>
      <c r="D242" s="333">
        <v>643.9</v>
      </c>
      <c r="E242" s="333">
        <v>739.4</v>
      </c>
      <c r="F242" s="238"/>
      <c r="G242" s="238"/>
      <c r="H242" s="238"/>
    </row>
    <row r="243" spans="1:8" x14ac:dyDescent="0.2">
      <c r="A243" s="56">
        <v>600000</v>
      </c>
      <c r="B243" s="333">
        <v>542.29999999999995</v>
      </c>
      <c r="C243" s="333">
        <v>656.1</v>
      </c>
      <c r="D243" s="333">
        <v>768.3</v>
      </c>
      <c r="E243" s="333">
        <v>882.1</v>
      </c>
      <c r="F243" s="238"/>
      <c r="G243" s="238"/>
      <c r="H243" s="238"/>
    </row>
    <row r="244" spans="1:8" x14ac:dyDescent="0.2">
      <c r="A244" s="56">
        <v>700000</v>
      </c>
      <c r="B244" s="333">
        <v>629.4</v>
      </c>
      <c r="C244" s="333">
        <v>761.3</v>
      </c>
      <c r="D244" s="333">
        <v>891.3</v>
      </c>
      <c r="E244" s="333">
        <v>1023.1</v>
      </c>
      <c r="F244" s="238"/>
      <c r="G244" s="238"/>
      <c r="H244" s="238"/>
    </row>
    <row r="245" spans="1:8" x14ac:dyDescent="0.2">
      <c r="A245" s="56">
        <v>800000</v>
      </c>
      <c r="B245" s="333">
        <v>715.6</v>
      </c>
      <c r="C245" s="333">
        <v>865.2</v>
      </c>
      <c r="D245" s="333">
        <v>1012.8</v>
      </c>
      <c r="E245" s="333">
        <v>1162.4000000000001</v>
      </c>
      <c r="F245" s="238"/>
      <c r="G245" s="238"/>
      <c r="H245" s="238"/>
    </row>
    <row r="246" spans="1:8" x14ac:dyDescent="0.2">
      <c r="A246" s="56">
        <v>900000</v>
      </c>
      <c r="B246" s="333">
        <v>800.8</v>
      </c>
      <c r="C246" s="333">
        <v>967.9</v>
      </c>
      <c r="D246" s="333">
        <v>1132.8</v>
      </c>
      <c r="E246" s="333">
        <v>1300</v>
      </c>
      <c r="F246" s="238"/>
      <c r="G246" s="238"/>
      <c r="H246" s="238"/>
    </row>
    <row r="247" spans="1:8" x14ac:dyDescent="0.2">
      <c r="A247" s="56">
        <v>1000000</v>
      </c>
      <c r="B247" s="333">
        <v>885.1</v>
      </c>
      <c r="C247" s="333">
        <v>1069.5</v>
      </c>
      <c r="D247" s="333">
        <v>1251.4000000000001</v>
      </c>
      <c r="E247" s="333">
        <v>1435.8</v>
      </c>
      <c r="F247" s="238"/>
      <c r="G247" s="238"/>
      <c r="H247" s="238"/>
    </row>
    <row r="248" spans="1:8" x14ac:dyDescent="0.2">
      <c r="A248" s="56">
        <v>1100000</v>
      </c>
      <c r="B248" s="333">
        <v>968.4</v>
      </c>
      <c r="C248" s="333">
        <v>1169.9000000000001</v>
      </c>
      <c r="D248" s="333">
        <v>1368.6</v>
      </c>
      <c r="E248" s="333">
        <v>1570</v>
      </c>
      <c r="F248" s="238"/>
      <c r="G248" s="238"/>
      <c r="H248" s="238"/>
    </row>
    <row r="249" spans="1:8" x14ac:dyDescent="0.2">
      <c r="A249" s="56">
        <v>1200000</v>
      </c>
      <c r="B249" s="333">
        <v>1050.8</v>
      </c>
      <c r="C249" s="333">
        <v>1269</v>
      </c>
      <c r="D249" s="333">
        <v>1484.3</v>
      </c>
      <c r="E249" s="333">
        <v>1702.4</v>
      </c>
      <c r="F249" s="238"/>
      <c r="G249" s="238"/>
      <c r="H249" s="238"/>
    </row>
    <row r="250" spans="1:8" x14ac:dyDescent="0.2">
      <c r="A250" s="56">
        <v>1300000</v>
      </c>
      <c r="B250" s="333">
        <v>1132.3</v>
      </c>
      <c r="C250" s="333">
        <v>1367</v>
      </c>
      <c r="D250" s="333">
        <v>1598.5</v>
      </c>
      <c r="E250" s="333">
        <v>1833.2</v>
      </c>
      <c r="F250" s="238"/>
      <c r="G250" s="238"/>
      <c r="H250" s="238"/>
    </row>
    <row r="251" spans="1:8" x14ac:dyDescent="0.2">
      <c r="A251" s="56">
        <v>1400000</v>
      </c>
      <c r="B251" s="333">
        <v>1212.8</v>
      </c>
      <c r="C251" s="333">
        <v>1463.7</v>
      </c>
      <c r="D251" s="333">
        <v>1711.3</v>
      </c>
      <c r="E251" s="333">
        <v>1962.2</v>
      </c>
      <c r="F251" s="238"/>
      <c r="G251" s="238"/>
      <c r="H251" s="238"/>
    </row>
    <row r="252" spans="1:8" x14ac:dyDescent="0.2">
      <c r="A252" s="56">
        <v>1500000</v>
      </c>
      <c r="B252" s="333">
        <v>1292.4000000000001</v>
      </c>
      <c r="C252" s="333">
        <v>1559.2</v>
      </c>
      <c r="D252" s="333">
        <v>1822.7</v>
      </c>
      <c r="E252" s="333">
        <v>2089.5</v>
      </c>
      <c r="F252" s="238"/>
      <c r="G252" s="238"/>
      <c r="H252" s="238"/>
    </row>
    <row r="253" spans="1:8" x14ac:dyDescent="0.2">
      <c r="A253" s="56">
        <v>1600000</v>
      </c>
      <c r="B253" s="333">
        <v>1371</v>
      </c>
      <c r="C253" s="333">
        <v>1653.6</v>
      </c>
      <c r="D253" s="333">
        <v>1932.6</v>
      </c>
      <c r="E253" s="333">
        <v>2215.1999999999998</v>
      </c>
      <c r="F253" s="238"/>
      <c r="G253" s="238"/>
      <c r="H253" s="238"/>
    </row>
    <row r="254" spans="1:8" x14ac:dyDescent="0.2">
      <c r="A254" s="56">
        <v>1700000</v>
      </c>
      <c r="B254" s="333">
        <v>1448.7</v>
      </c>
      <c r="C254" s="333">
        <v>1746.7</v>
      </c>
      <c r="D254" s="333">
        <v>2041</v>
      </c>
      <c r="E254" s="333">
        <v>2339.1</v>
      </c>
      <c r="F254" s="238"/>
      <c r="G254" s="238"/>
      <c r="H254" s="238"/>
    </row>
    <row r="255" spans="1:8" x14ac:dyDescent="0.2">
      <c r="A255" s="56">
        <v>1800000</v>
      </c>
      <c r="B255" s="333">
        <v>1525.3</v>
      </c>
      <c r="C255" s="333">
        <v>1838.6</v>
      </c>
      <c r="D255" s="333">
        <v>2148.1</v>
      </c>
      <c r="E255" s="333">
        <v>2461.4</v>
      </c>
      <c r="F255" s="238"/>
      <c r="G255" s="238"/>
      <c r="H255" s="238"/>
    </row>
    <row r="256" spans="1:8" x14ac:dyDescent="0.2">
      <c r="A256" s="56">
        <v>1900000</v>
      </c>
      <c r="B256" s="333">
        <v>1601.1</v>
      </c>
      <c r="C256" s="333">
        <v>1929.3</v>
      </c>
      <c r="D256" s="333">
        <v>2253.6</v>
      </c>
      <c r="E256" s="333">
        <v>2582</v>
      </c>
      <c r="F256" s="238"/>
      <c r="G256" s="238"/>
      <c r="H256" s="238"/>
    </row>
    <row r="257" spans="1:8" x14ac:dyDescent="0.2">
      <c r="A257" s="56">
        <v>2000000</v>
      </c>
      <c r="B257" s="333">
        <v>1675.8</v>
      </c>
      <c r="C257" s="333">
        <v>2018.9</v>
      </c>
      <c r="D257" s="333">
        <v>2357.6999999999998</v>
      </c>
      <c r="E257" s="333">
        <v>2700.8</v>
      </c>
      <c r="F257" s="238"/>
      <c r="G257" s="238"/>
      <c r="H257" s="238"/>
    </row>
    <row r="258" spans="1:8" x14ac:dyDescent="0.2">
      <c r="A258" s="56">
        <v>2250000</v>
      </c>
      <c r="B258" s="333">
        <v>1858.5</v>
      </c>
      <c r="C258" s="333">
        <v>2237.4</v>
      </c>
      <c r="D258" s="333">
        <v>2611.6999999999998</v>
      </c>
      <c r="E258" s="333">
        <v>2990.6</v>
      </c>
      <c r="F258" s="238"/>
      <c r="G258" s="238"/>
      <c r="H258" s="238"/>
    </row>
    <row r="259" spans="1:8" x14ac:dyDescent="0.2">
      <c r="A259" s="56">
        <v>2500000</v>
      </c>
      <c r="B259" s="333">
        <v>2035</v>
      </c>
      <c r="C259" s="333">
        <v>2448.3000000000002</v>
      </c>
      <c r="D259" s="333">
        <v>2856.6</v>
      </c>
      <c r="E259" s="333">
        <v>3269.9</v>
      </c>
      <c r="F259" s="238"/>
      <c r="G259" s="238"/>
      <c r="H259" s="238"/>
    </row>
    <row r="260" spans="1:8" x14ac:dyDescent="0.2">
      <c r="A260" s="56">
        <v>2750000</v>
      </c>
      <c r="B260" s="333">
        <v>2205.5</v>
      </c>
      <c r="C260" s="333">
        <v>2651.8</v>
      </c>
      <c r="D260" s="333">
        <v>3092.5</v>
      </c>
      <c r="E260" s="333">
        <v>3538.8</v>
      </c>
      <c r="F260" s="238"/>
      <c r="G260" s="238"/>
      <c r="H260" s="238"/>
    </row>
    <row r="261" spans="1:8" x14ac:dyDescent="0.2">
      <c r="A261" s="56">
        <v>3000000</v>
      </c>
      <c r="B261" s="333">
        <v>2369.6999999999998</v>
      </c>
      <c r="C261" s="333">
        <v>2847.6</v>
      </c>
      <c r="D261" s="333">
        <v>3319.4</v>
      </c>
      <c r="E261" s="333">
        <v>3797.4</v>
      </c>
      <c r="F261" s="238"/>
      <c r="G261" s="238"/>
      <c r="H261" s="238"/>
    </row>
    <row r="262" spans="1:8" x14ac:dyDescent="0.2">
      <c r="A262" s="56">
        <v>3500000</v>
      </c>
      <c r="B262" s="333">
        <v>2679.2</v>
      </c>
      <c r="C262" s="333">
        <v>3216.7</v>
      </c>
      <c r="D262" s="333">
        <v>3746</v>
      </c>
      <c r="E262" s="333">
        <v>4283.6000000000004</v>
      </c>
      <c r="F262" s="238"/>
      <c r="G262" s="238"/>
      <c r="H262" s="238"/>
    </row>
    <row r="263" spans="1:8" x14ac:dyDescent="0.2">
      <c r="A263" s="56">
        <v>4000000</v>
      </c>
      <c r="B263" s="333">
        <v>2963.1</v>
      </c>
      <c r="C263" s="333">
        <v>3555.6</v>
      </c>
      <c r="D263" s="333">
        <v>4136.7</v>
      </c>
      <c r="E263" s="333">
        <v>4729.1000000000004</v>
      </c>
      <c r="F263" s="238"/>
      <c r="G263" s="238"/>
      <c r="H263" s="238"/>
    </row>
    <row r="264" spans="1:8" x14ac:dyDescent="0.2">
      <c r="A264" s="56">
        <v>4500000</v>
      </c>
      <c r="B264" s="333">
        <v>3221</v>
      </c>
      <c r="C264" s="333">
        <v>3864.1</v>
      </c>
      <c r="D264" s="333">
        <v>4491.2</v>
      </c>
      <c r="E264" s="333">
        <v>5134.3</v>
      </c>
      <c r="F264" s="238"/>
      <c r="G264" s="238"/>
      <c r="H264" s="238"/>
    </row>
    <row r="265" spans="1:8" x14ac:dyDescent="0.2">
      <c r="A265" s="56">
        <v>5000000</v>
      </c>
      <c r="B265" s="333">
        <v>3452.3</v>
      </c>
      <c r="C265" s="333">
        <v>4142.5</v>
      </c>
      <c r="D265" s="333">
        <v>4809.7</v>
      </c>
      <c r="E265" s="333">
        <v>5499.8</v>
      </c>
      <c r="F265" s="238"/>
      <c r="G265" s="238"/>
      <c r="H265" s="238"/>
    </row>
    <row r="266" spans="1:8" x14ac:dyDescent="0.2">
      <c r="A266" s="238"/>
      <c r="B266" s="238"/>
      <c r="C266" s="238"/>
      <c r="D266" s="238"/>
      <c r="E266" s="238"/>
      <c r="F266" s="238"/>
      <c r="G266" s="238"/>
      <c r="H266" s="238"/>
    </row>
    <row r="267" spans="1:8" x14ac:dyDescent="0.2">
      <c r="A267" s="238"/>
      <c r="B267" s="238"/>
      <c r="C267" s="238"/>
      <c r="D267" s="238"/>
      <c r="E267" s="238"/>
      <c r="F267" s="238"/>
      <c r="G267" s="238"/>
      <c r="H267" s="238"/>
    </row>
    <row r="268" spans="1:8" x14ac:dyDescent="0.2">
      <c r="A268" s="238"/>
      <c r="B268" s="238"/>
      <c r="C268" s="238"/>
      <c r="D268" s="238"/>
      <c r="E268" s="238"/>
      <c r="F268" s="238"/>
      <c r="G268" s="238"/>
      <c r="H268" s="238"/>
    </row>
    <row r="269" spans="1:8" x14ac:dyDescent="0.2">
      <c r="A269" s="238"/>
      <c r="B269" s="238"/>
      <c r="C269" s="238"/>
      <c r="D269" s="238"/>
      <c r="E269" s="238"/>
      <c r="F269" s="238"/>
      <c r="G269" s="238"/>
      <c r="H269" s="238"/>
    </row>
    <row r="270" spans="1:8" x14ac:dyDescent="0.2">
      <c r="A270" s="238"/>
      <c r="B270" s="238"/>
      <c r="C270" s="238"/>
      <c r="D270" s="238"/>
      <c r="E270" s="238"/>
      <c r="F270" s="238"/>
      <c r="G270" s="238"/>
      <c r="H270" s="238"/>
    </row>
    <row r="271" spans="1:8" x14ac:dyDescent="0.2">
      <c r="A271" s="238"/>
      <c r="B271" s="238"/>
      <c r="C271" s="238"/>
      <c r="D271" s="238"/>
      <c r="E271" s="238"/>
      <c r="F271" s="238"/>
      <c r="G271" s="238"/>
      <c r="H271" s="238"/>
    </row>
    <row r="272" spans="1:8" x14ac:dyDescent="0.2">
      <c r="A272" s="238"/>
      <c r="B272" s="238"/>
      <c r="C272" s="238"/>
      <c r="D272" s="238"/>
      <c r="E272" s="238"/>
      <c r="F272" s="238"/>
      <c r="G272" s="238"/>
      <c r="H272" s="238"/>
    </row>
    <row r="273" spans="1:8" x14ac:dyDescent="0.2">
      <c r="A273" s="238"/>
      <c r="B273" s="238"/>
      <c r="C273" s="238"/>
      <c r="D273" s="238"/>
      <c r="E273" s="238"/>
      <c r="F273" s="238"/>
      <c r="G273" s="238"/>
      <c r="H273" s="238"/>
    </row>
    <row r="274" spans="1:8" x14ac:dyDescent="0.2">
      <c r="A274" s="238"/>
      <c r="B274" s="238"/>
      <c r="C274" s="238"/>
      <c r="D274" s="238"/>
      <c r="E274" s="238"/>
      <c r="F274" s="238"/>
      <c r="G274" s="238"/>
      <c r="H274" s="238"/>
    </row>
    <row r="275" spans="1:8" x14ac:dyDescent="0.2">
      <c r="A275" s="238"/>
      <c r="B275" s="238"/>
      <c r="C275" s="238"/>
      <c r="D275" s="238"/>
      <c r="E275" s="238"/>
      <c r="F275" s="238"/>
      <c r="G275" s="238"/>
      <c r="H275" s="238"/>
    </row>
    <row r="276" spans="1:8" x14ac:dyDescent="0.2">
      <c r="A276" s="238"/>
      <c r="B276" s="238"/>
      <c r="C276" s="238"/>
      <c r="D276" s="238"/>
      <c r="E276" s="238"/>
      <c r="F276" s="238"/>
      <c r="G276" s="238"/>
      <c r="H276" s="238"/>
    </row>
    <row r="277" spans="1:8" x14ac:dyDescent="0.2">
      <c r="A277" s="238"/>
      <c r="B277" s="238"/>
      <c r="C277" s="238"/>
      <c r="D277" s="238"/>
      <c r="E277" s="238"/>
      <c r="F277" s="238"/>
      <c r="G277" s="238"/>
      <c r="H277" s="238"/>
    </row>
    <row r="278" spans="1:8" x14ac:dyDescent="0.2">
      <c r="A278" s="238"/>
      <c r="B278" s="238"/>
      <c r="C278" s="238"/>
      <c r="D278" s="238"/>
      <c r="E278" s="238"/>
      <c r="F278" s="238"/>
      <c r="G278" s="238"/>
      <c r="H278" s="238"/>
    </row>
    <row r="279" spans="1:8" x14ac:dyDescent="0.2">
      <c r="A279" s="238"/>
      <c r="B279" s="238"/>
      <c r="C279" s="238"/>
      <c r="D279" s="238"/>
      <c r="E279" s="238"/>
      <c r="F279" s="238"/>
      <c r="G279" s="238"/>
      <c r="H279" s="238"/>
    </row>
    <row r="280" spans="1:8" x14ac:dyDescent="0.2">
      <c r="A280" s="238"/>
      <c r="B280" s="238"/>
      <c r="C280" s="238"/>
      <c r="D280" s="238"/>
      <c r="E280" s="238"/>
      <c r="F280" s="238"/>
      <c r="G280" s="238"/>
      <c r="H280" s="238"/>
    </row>
    <row r="281" spans="1:8" x14ac:dyDescent="0.2">
      <c r="A281" s="238"/>
      <c r="B281" s="238"/>
      <c r="C281" s="238"/>
      <c r="D281" s="238"/>
      <c r="E281" s="238"/>
      <c r="F281" s="238"/>
      <c r="G281" s="238"/>
      <c r="H281" s="238"/>
    </row>
    <row r="282" spans="1:8" x14ac:dyDescent="0.2">
      <c r="A282" s="238"/>
      <c r="B282" s="238"/>
      <c r="C282" s="238"/>
      <c r="D282" s="238"/>
      <c r="E282" s="238"/>
      <c r="F282" s="238"/>
      <c r="G282" s="238"/>
      <c r="H282" s="238"/>
    </row>
    <row r="283" spans="1:8" x14ac:dyDescent="0.2">
      <c r="A283" s="238"/>
      <c r="B283" s="238"/>
      <c r="C283" s="238"/>
      <c r="D283" s="238"/>
      <c r="E283" s="238"/>
      <c r="F283" s="238"/>
      <c r="G283" s="238"/>
      <c r="H283" s="238"/>
    </row>
    <row r="284" spans="1:8" x14ac:dyDescent="0.2">
      <c r="A284" s="238"/>
      <c r="B284" s="238"/>
      <c r="C284" s="238"/>
      <c r="D284" s="238"/>
      <c r="E284" s="238"/>
      <c r="F284" s="238"/>
      <c r="G284" s="238"/>
      <c r="H284" s="238"/>
    </row>
    <row r="285" spans="1:8" x14ac:dyDescent="0.2">
      <c r="A285" s="238"/>
      <c r="B285" s="238"/>
      <c r="C285" s="238"/>
      <c r="D285" s="238"/>
      <c r="E285" s="238"/>
      <c r="F285" s="238"/>
      <c r="G285" s="238"/>
      <c r="H285" s="238"/>
    </row>
    <row r="286" spans="1:8" x14ac:dyDescent="0.2">
      <c r="A286" s="184" t="str">
        <f>EUR!P11</f>
        <v>VRSTA INVESTICIJSKEGA STROŠKA</v>
      </c>
      <c r="B286" s="187" t="str">
        <f>EUR!Q11</f>
        <v>VREDNOST DEL</v>
      </c>
      <c r="C286"/>
      <c r="D286"/>
      <c r="E286"/>
      <c r="F286" s="238"/>
      <c r="G286" s="238"/>
      <c r="H286" s="238"/>
    </row>
    <row r="287" spans="1:8" x14ac:dyDescent="0.2">
      <c r="A287" s="185" t="str">
        <f>EUR!P12</f>
        <v>IA</v>
      </c>
      <c r="B287" s="56">
        <f>EUR!Q12</f>
        <v>70000000</v>
      </c>
      <c r="C287"/>
      <c r="D287"/>
      <c r="E287"/>
      <c r="F287" s="238"/>
      <c r="G287" s="238"/>
      <c r="H287" s="238"/>
    </row>
    <row r="288" spans="1:8" x14ac:dyDescent="0.2">
      <c r="A288" s="185" t="str">
        <f>EUR!P13</f>
        <v>IG</v>
      </c>
      <c r="B288" s="56">
        <f>EUR!Q13</f>
        <v>31696000</v>
      </c>
      <c r="C288"/>
      <c r="D288"/>
      <c r="E288"/>
      <c r="F288" s="238"/>
      <c r="G288" s="238"/>
      <c r="H288" s="238"/>
    </row>
    <row r="289" spans="1:8" x14ac:dyDescent="0.2">
      <c r="A289" s="185" t="str">
        <f>EUR!P14</f>
        <v>IS</v>
      </c>
      <c r="B289" s="56">
        <f>EUR!Q14</f>
        <v>9800000.0000000019</v>
      </c>
      <c r="C289"/>
      <c r="D289"/>
      <c r="E289"/>
      <c r="F289" s="238"/>
      <c r="G289" s="238"/>
      <c r="H289" s="238"/>
    </row>
    <row r="290" spans="1:8" x14ac:dyDescent="0.2">
      <c r="A290" s="185" t="str">
        <f>EUR!P15</f>
        <v>IE</v>
      </c>
      <c r="B290" s="56">
        <f>EUR!Q15</f>
        <v>9800000.0000000019</v>
      </c>
      <c r="C290"/>
      <c r="D290"/>
      <c r="E290"/>
      <c r="F290" s="238"/>
      <c r="G290" s="238"/>
      <c r="H290" s="238"/>
    </row>
    <row r="291" spans="1:8" x14ac:dyDescent="0.2">
      <c r="A291" s="185" t="str">
        <f>EUR!P16</f>
        <v>ITZ</v>
      </c>
      <c r="B291" s="56">
        <f>EUR!Q16</f>
        <v>70000000</v>
      </c>
      <c r="C291"/>
      <c r="D291"/>
      <c r="E291"/>
      <c r="F291" s="238"/>
      <c r="G291" s="238"/>
      <c r="H291" s="238"/>
    </row>
    <row r="292" spans="1:8" x14ac:dyDescent="0.2">
      <c r="A292" s="185" t="str">
        <f>EUR!P17</f>
        <v>IZH</v>
      </c>
      <c r="B292" s="56">
        <f>EUR!Q17</f>
        <v>70000000</v>
      </c>
      <c r="C292"/>
      <c r="D292"/>
      <c r="E292"/>
      <c r="F292" s="238"/>
      <c r="G292" s="238"/>
      <c r="H292" s="238"/>
    </row>
    <row r="293" spans="1:8" x14ac:dyDescent="0.2">
      <c r="A293" s="185" t="str">
        <f>EUR!P18</f>
        <v>IVP</v>
      </c>
      <c r="B293" s="56">
        <f>EUR!Q18</f>
        <v>70000000</v>
      </c>
      <c r="C293"/>
      <c r="D293"/>
      <c r="E293"/>
      <c r="F293" s="238"/>
      <c r="G293" s="238"/>
      <c r="H293" s="238"/>
    </row>
    <row r="294" spans="1:8" x14ac:dyDescent="0.2">
      <c r="A294" s="185" t="str">
        <f>EUR!P19</f>
        <v>ID</v>
      </c>
      <c r="B294" s="56">
        <f>EUR!Q19</f>
        <v>70000000</v>
      </c>
      <c r="C294"/>
      <c r="D294"/>
      <c r="E294"/>
      <c r="F294" s="238"/>
      <c r="G294" s="238"/>
      <c r="H294" s="238"/>
    </row>
    <row r="295" spans="1:8" x14ac:dyDescent="0.2">
      <c r="A295"/>
      <c r="B295"/>
      <c r="C295"/>
      <c r="D295"/>
      <c r="E295"/>
      <c r="F295" s="238"/>
      <c r="G295" s="238"/>
      <c r="H295" s="238"/>
    </row>
    <row r="296" spans="1:8" x14ac:dyDescent="0.2">
      <c r="A296" s="57"/>
      <c r="B296" s="57" t="s">
        <v>0</v>
      </c>
      <c r="C296" s="57"/>
      <c r="D296" s="57" t="s">
        <v>342</v>
      </c>
      <c r="E296" s="57"/>
      <c r="F296" s="238" t="s">
        <v>18</v>
      </c>
      <c r="G296" s="238"/>
      <c r="H296" s="238"/>
    </row>
    <row r="297" spans="1:8" x14ac:dyDescent="0.2">
      <c r="A297" s="57"/>
      <c r="B297" s="57" t="s">
        <v>336</v>
      </c>
      <c r="C297" s="57" t="s">
        <v>337</v>
      </c>
      <c r="D297" s="57" t="s">
        <v>340</v>
      </c>
      <c r="E297" s="57" t="s">
        <v>341</v>
      </c>
      <c r="F297" s="57" t="s">
        <v>344</v>
      </c>
      <c r="G297" s="57" t="s">
        <v>345</v>
      </c>
      <c r="H297" s="238"/>
    </row>
    <row r="298" spans="1:8" x14ac:dyDescent="0.2">
      <c r="A298" s="57" t="s">
        <v>58</v>
      </c>
      <c r="B298" s="57">
        <f>-1*POWER(10,-10)*POWER($B$2870,2)+0.0015*$B$2870+99.863</f>
        <v>99.863</v>
      </c>
      <c r="C298" s="57">
        <f>-6*POWER(10,-12)*POWER($B$2870,2)+0.001*$B$2870+645.9</f>
        <v>645.9</v>
      </c>
      <c r="D298" s="57">
        <f>-4*POWER(10,-9)*POWER($B$2890,2)+0.0032*$B$2890+24.952</f>
        <v>24.952000000000002</v>
      </c>
      <c r="E298" s="57">
        <f>-1*POWER(10,-10)*POWER($B$2890,2)+0.0015*$B$2890+259.83</f>
        <v>259.83</v>
      </c>
      <c r="F298" s="57">
        <f>-7*POWER(10,-12)*POWER($B$293,2)+7*POWER(10,-5)*$B$293+17.867</f>
        <v>-29382.133000000002</v>
      </c>
      <c r="G298" s="57">
        <f>-3*POWER(10,-13)*POWER($B$293,2)+3*POWER(10,-5)*$B$293+64.034</f>
        <v>694.03400000000022</v>
      </c>
      <c r="H298" s="238"/>
    </row>
    <row r="299" spans="1:8" x14ac:dyDescent="0.2">
      <c r="A299" s="57" t="s">
        <v>92</v>
      </c>
      <c r="B299" s="57">
        <f>-1*POWER(10,-10)*POWER($B$2870,2)+0.0013*$B$2870+86.045</f>
        <v>86.045000000000002</v>
      </c>
      <c r="C299" s="57">
        <f>-6*POWER(10,-12)*POWER($B$2870,2)+0.0009*$B$2870+553.64</f>
        <v>553.64</v>
      </c>
      <c r="D299" s="57">
        <f>-3*POWER(10,-9)*POWER($B$2890,2)+0.0027*$B$2890+21.05</f>
        <v>21.05</v>
      </c>
      <c r="E299" s="57">
        <f>-8*POWER(10,-11)*POWER($B$2890,2)+0.0014*$B$2890+187.46</f>
        <v>187.46</v>
      </c>
      <c r="F299" s="57">
        <f>-6*POWER(10,-12)*POWER($B$293,2)+6*POWER(10,-5)*$B$293+15.798</f>
        <v>-25184.202000000001</v>
      </c>
      <c r="G299" s="57">
        <f>-3*POWER(10,-13)*POWER($B$293,2)+3*POWER(10,-5)*$B$293+59.78</f>
        <v>689.7800000000002</v>
      </c>
      <c r="H299" s="238"/>
    </row>
    <row r="300" spans="1:8" x14ac:dyDescent="0.2">
      <c r="A300" s="57" t="s">
        <v>91</v>
      </c>
      <c r="B300" s="57">
        <f>-9*POWER(10,-11)*POWER($B$2870,2)+0.0011*$B$2870+72.344</f>
        <v>72.343999999999994</v>
      </c>
      <c r="C300" s="57">
        <f>-5*POWER(10,-12)*POWER($B$2870,2)+0.0007*$B$2870+461.67</f>
        <v>461.67</v>
      </c>
      <c r="D300" s="57">
        <f>-3*POWER(10,-9)*POWER($B$2890,2)+0.0022*$B$2890+17.833</f>
        <v>17.832999999999998</v>
      </c>
      <c r="E300" s="57">
        <f>-7*POWER(10,-11)*POWER($B$2890,2)+0.0013*$B$2890+115.07</f>
        <v>115.07</v>
      </c>
      <c r="F300" s="57">
        <f>-6*POWER(10,-12)*POWER($B$293,2)+5*POWER(10,-5)*$B$293+13.792</f>
        <v>-25886.207999999999</v>
      </c>
      <c r="G300" s="57">
        <f>-3*POWER(10,-13)*POWER($B$293,2)+2*POWER(10,-5)*$B$293+55.526</f>
        <v>-14.473999999999997</v>
      </c>
      <c r="H300" s="238"/>
    </row>
    <row r="301" spans="1:8" x14ac:dyDescent="0.2">
      <c r="A301" s="57" t="s">
        <v>57</v>
      </c>
      <c r="B301" s="57">
        <f>-7*POWER(10,-11)*POWER($B$2870,2)+0.0009*$B$2870+58.754</f>
        <v>58.753999999999998</v>
      </c>
      <c r="C301" s="57">
        <f>-4*POWER(10,-12)*POWER($B$2870,2)+0.0006*$B$2870+369.38</f>
        <v>369.38</v>
      </c>
      <c r="D301" s="57">
        <f>-2*POWER(10,-9)*POWER($B$2890,2)+0.0017*$B$2890+14.332</f>
        <v>14.332000000000001</v>
      </c>
      <c r="E301" s="57">
        <f>-5*POWER(10,-11)*POWER($B$2890,2)+0.0012*$B$2890+42.881</f>
        <v>42.881</v>
      </c>
      <c r="F301" s="57">
        <f>-5*POWER(10,-12)*POWER($B$293,2)+5*POWER(10,-5)*$B$293+11.738</f>
        <v>-20988.261999999999</v>
      </c>
      <c r="G301" s="57">
        <f>-2*POWER(10,-13)*POWER($B$293,2)+2*POWER(10,-5)*$B$293+48.095</f>
        <v>468.09500000000025</v>
      </c>
      <c r="H301" s="238"/>
    </row>
    <row r="302" spans="1:8" x14ac:dyDescent="0.2">
      <c r="A302" s="57"/>
      <c r="B302" s="57"/>
      <c r="C302" s="57"/>
      <c r="D302" s="57"/>
      <c r="E302" s="57"/>
      <c r="F302" s="238"/>
      <c r="G302" s="238"/>
      <c r="H302" s="238"/>
    </row>
    <row r="303" spans="1:8" x14ac:dyDescent="0.2">
      <c r="A303" s="57"/>
      <c r="B303" s="57" t="s">
        <v>11</v>
      </c>
      <c r="C303" s="57"/>
      <c r="D303" s="57" t="s">
        <v>19</v>
      </c>
      <c r="E303" s="57"/>
      <c r="F303" s="238"/>
      <c r="G303" s="238"/>
      <c r="H303" s="238"/>
    </row>
    <row r="304" spans="1:8" x14ac:dyDescent="0.2">
      <c r="A304" s="57"/>
      <c r="B304" s="57" t="s">
        <v>338</v>
      </c>
      <c r="C304" s="57" t="s">
        <v>339</v>
      </c>
      <c r="D304" s="57"/>
      <c r="E304" s="57"/>
      <c r="F304" s="238"/>
      <c r="G304" s="238"/>
      <c r="H304" s="238"/>
    </row>
    <row r="305" spans="1:8" x14ac:dyDescent="0.2">
      <c r="A305" s="57" t="s">
        <v>59</v>
      </c>
      <c r="B305" s="57">
        <f>-2*POWER(10,-9)*POWER($B$2880,2)+0.0026*$B$2880+25.393</f>
        <v>25.393000000000001</v>
      </c>
      <c r="C305" s="57">
        <f>-2*POWER(10,-11)*POWER($B$2880,2)+0.0011*$B$2880+393.91</f>
        <v>393.91</v>
      </c>
      <c r="D305" s="57">
        <f>-4*POWER(10,-13)*POWER($B$292,2)+4*POWER(10,-5)*$B$292+37.897</f>
        <v>877.8970000000005</v>
      </c>
      <c r="E305" s="57"/>
      <c r="F305" s="238"/>
      <c r="G305" s="238"/>
      <c r="H305" s="238"/>
    </row>
    <row r="306" spans="1:8" x14ac:dyDescent="0.2">
      <c r="A306" s="57" t="s">
        <v>94</v>
      </c>
      <c r="B306" s="57">
        <f>-2*POWER(10,-9)*POWER($B$2880,2)+0.0024*$B$2880+23.553</f>
        <v>23.553000000000001</v>
      </c>
      <c r="C306" s="57">
        <f>-2*POWER(10,-11)*POWER($B$2880,2)+0.001*$B$2880+369.75</f>
        <v>369.75</v>
      </c>
      <c r="D306" s="57">
        <f>-3*POWER(10,-13)*POWER($B$292,2)+4*POWER(10,-5)*$B$292+34.637</f>
        <v>1364.6370000000002</v>
      </c>
      <c r="E306" s="57"/>
      <c r="F306" s="238"/>
      <c r="G306" s="238"/>
      <c r="H306" s="238"/>
    </row>
    <row r="307" spans="1:8" x14ac:dyDescent="0.2">
      <c r="A307" s="57" t="s">
        <v>93</v>
      </c>
      <c r="B307" s="57">
        <f>-2*POWER(10,-9)*POWER($B$2880,2)+0.0021*$B$2880+19.354</f>
        <v>19.353999999999999</v>
      </c>
      <c r="C307" s="57">
        <f>-2*POWER(10,-11)*POWER($B$2880,2)+0.0009*$B$2880+308.64</f>
        <v>308.64</v>
      </c>
      <c r="D307" s="57">
        <f>-3*POWER(10,-13)*POWER($B$292,2)+3*POWER(10,-5)*$B$292+30.85</f>
        <v>660.85000000000025</v>
      </c>
      <c r="E307" s="57"/>
      <c r="F307" s="238"/>
      <c r="G307" s="238"/>
      <c r="H307" s="238"/>
    </row>
    <row r="308" spans="1:8" x14ac:dyDescent="0.2">
      <c r="A308" s="57" t="s">
        <v>92</v>
      </c>
      <c r="B308" s="57">
        <f>-1*POWER(10,-9)*POWER($B$2880,2)+0.0016*$B$2880+14.164</f>
        <v>14.164</v>
      </c>
      <c r="C308" s="57">
        <f>-1*POWER(10,-11)*POWER($B$2880,2)+0.0007*$B$2880+235.7</f>
        <v>235.7</v>
      </c>
      <c r="D308" s="57">
        <f>-2*POWER(10,-13)*POWER($B$292,2)+3*POWER(10,-5)*$B$292+24.253</f>
        <v>1144.2530000000004</v>
      </c>
      <c r="E308" s="57"/>
      <c r="F308" s="238"/>
      <c r="G308" s="238"/>
      <c r="H308" s="238"/>
    </row>
    <row r="309" spans="1:8" x14ac:dyDescent="0.2">
      <c r="A309" s="57" t="s">
        <v>91</v>
      </c>
      <c r="B309" s="57">
        <f>-1*POWER(10,-9)*POWER($B$2880,2)+0.0013*$B$2880+9.9761</f>
        <v>9.9761000000000006</v>
      </c>
      <c r="C309" s="57">
        <f>-9*POWER(10,-12)*POWER($B$2880,2)+0.0006*$B$2880+174.4</f>
        <v>174.4</v>
      </c>
      <c r="D309" s="57">
        <f>-1*POWER(10,-13)*POWER($B$292,2)+2*POWER(10,-5)*$B$292+20.473</f>
        <v>930.47300000000018</v>
      </c>
      <c r="E309" s="57"/>
      <c r="F309" s="238"/>
      <c r="G309" s="238"/>
      <c r="H309" s="238"/>
    </row>
    <row r="310" spans="1:8" x14ac:dyDescent="0.2">
      <c r="A310" s="57" t="s">
        <v>57</v>
      </c>
      <c r="B310" s="57">
        <f>-8*POWER(10,-10)*POWER($B$2880,2)+0.0011*$B$2880+8.5321</f>
        <v>8.5320999999999998</v>
      </c>
      <c r="C310" s="57">
        <f>-8*POWER(10,-12)*POWER($B$2880,2)+0.0006*$B$2880+150.28</f>
        <v>150.28</v>
      </c>
      <c r="D310" s="57">
        <f>-8*POWER(10,-14)*POWER($B$292,2)+2*POWER(10,-5)*$B$292+17.099</f>
        <v>1025.0990000000002</v>
      </c>
      <c r="E310" s="57"/>
      <c r="F310" s="238"/>
      <c r="G310" s="238"/>
      <c r="H310" s="238"/>
    </row>
    <row r="311" spans="1:8" x14ac:dyDescent="0.2">
      <c r="A311" s="238"/>
      <c r="B311" s="238"/>
      <c r="C311" s="238"/>
      <c r="D311" s="238"/>
      <c r="E311" s="238"/>
      <c r="F311" s="238"/>
      <c r="G311" s="238"/>
      <c r="H311" s="238"/>
    </row>
    <row r="312" spans="1:8" x14ac:dyDescent="0.2">
      <c r="B312" s="57" t="s">
        <v>343</v>
      </c>
      <c r="C312" s="57" t="s">
        <v>343</v>
      </c>
      <c r="D312" s="238"/>
      <c r="E312" s="238"/>
      <c r="F312" s="238"/>
      <c r="G312" s="238"/>
      <c r="H312" s="238"/>
    </row>
    <row r="313" spans="1:8" x14ac:dyDescent="0.2">
      <c r="A313" s="238" t="s">
        <v>27</v>
      </c>
      <c r="B313" s="57">
        <f>-5*POWER(10,-12)*POWER($B$291,2)+5*POWER(10,-5)*$B$291+34.867</f>
        <v>-20965.133000000002</v>
      </c>
      <c r="C313" s="57">
        <f>-3*POWER(10,-13)*POWER($B$291,2)+2*POWER(10,-5)*$B$291+104.23</f>
        <v>34.230000000000004</v>
      </c>
      <c r="D313" s="238"/>
      <c r="E313" s="238"/>
      <c r="F313" s="238"/>
      <c r="G313" s="238"/>
      <c r="H313" s="238"/>
    </row>
    <row r="314" spans="1:8" x14ac:dyDescent="0.2">
      <c r="A314" s="238" t="str">
        <f>EUR!O19</f>
        <v>DOKUMENTACIJA ZA DOVOLJEVANJE</v>
      </c>
      <c r="B314" s="57">
        <f>-2*POWER(10,-12)*POWER($B$294,2)+6*POWER(10,-5)*$B$294+31.557</f>
        <v>-5568.4429999999993</v>
      </c>
      <c r="C314" s="57">
        <f>2*POWER(10,-13)*POWER($B$294,2)+1*POWER(10,-5)*$B$294+210.4</f>
        <v>1890.4</v>
      </c>
      <c r="D314" s="238"/>
      <c r="E314" s="238"/>
      <c r="F314" s="238"/>
      <c r="G314" s="238"/>
      <c r="H314" s="238"/>
    </row>
    <row r="315" spans="1:8" x14ac:dyDescent="0.2">
      <c r="A315" s="238"/>
      <c r="B315" s="238"/>
      <c r="C315" s="238"/>
      <c r="D315" s="238"/>
      <c r="E315" s="238"/>
      <c r="F315" s="238"/>
      <c r="G315" s="238"/>
      <c r="H315" s="238"/>
    </row>
    <row r="316" spans="1:8" x14ac:dyDescent="0.2">
      <c r="A316" s="57"/>
      <c r="B316" s="238"/>
      <c r="C316" s="238"/>
      <c r="D316" s="238"/>
      <c r="E316" s="238"/>
      <c r="F316" s="238"/>
      <c r="G316" s="238"/>
      <c r="H316" s="238"/>
    </row>
    <row r="317" spans="1:8" x14ac:dyDescent="0.2">
      <c r="A317" s="238"/>
      <c r="B317" s="238"/>
      <c r="C317" s="238"/>
      <c r="D317" s="238"/>
      <c r="E317" s="238"/>
      <c r="F317" s="238"/>
      <c r="G317" s="238"/>
      <c r="H317" s="238"/>
    </row>
    <row r="318" spans="1:8" x14ac:dyDescent="0.2">
      <c r="A318" s="238"/>
      <c r="B318" s="238"/>
      <c r="C318" s="238"/>
      <c r="D318" s="238"/>
      <c r="E318" s="238"/>
      <c r="F318" s="238"/>
      <c r="G318" s="238"/>
      <c r="H318" s="238"/>
    </row>
    <row r="319" spans="1:8" x14ac:dyDescent="0.2">
      <c r="A319" s="238"/>
      <c r="B319" s="238"/>
      <c r="C319" s="238"/>
      <c r="D319" s="238"/>
      <c r="E319" s="238"/>
      <c r="F319" s="238"/>
      <c r="G319" s="238"/>
      <c r="H319" s="238"/>
    </row>
    <row r="320" spans="1:8" x14ac:dyDescent="0.2">
      <c r="A320" s="238"/>
      <c r="B320" s="238"/>
      <c r="C320" s="238"/>
      <c r="D320" s="238"/>
      <c r="E320" s="238"/>
      <c r="F320" s="238"/>
      <c r="G320" s="238"/>
      <c r="H320" s="238"/>
    </row>
    <row r="321" spans="1:8" x14ac:dyDescent="0.2">
      <c r="A321" s="238"/>
      <c r="B321" s="238"/>
      <c r="C321" s="238"/>
      <c r="D321" s="238"/>
      <c r="E321" s="238"/>
      <c r="F321" s="238"/>
      <c r="G321" s="238"/>
      <c r="H321" s="238"/>
    </row>
    <row r="322" spans="1:8" x14ac:dyDescent="0.2">
      <c r="A322" s="238"/>
      <c r="B322" s="238"/>
      <c r="C322" s="238"/>
      <c r="D322" s="238"/>
      <c r="E322" s="238"/>
      <c r="F322" s="238"/>
      <c r="G322" s="238"/>
      <c r="H322" s="238"/>
    </row>
    <row r="323" spans="1:8" x14ac:dyDescent="0.2">
      <c r="A323" s="238"/>
      <c r="B323" s="238"/>
      <c r="C323" s="238"/>
      <c r="D323" s="238"/>
      <c r="E323" s="238"/>
      <c r="F323" s="238"/>
      <c r="G323" s="238"/>
      <c r="H323" s="238"/>
    </row>
    <row r="324" spans="1:8" x14ac:dyDescent="0.2">
      <c r="A324" s="238"/>
      <c r="B324" s="238"/>
      <c r="C324" s="238"/>
      <c r="D324" s="238"/>
      <c r="E324" s="238"/>
      <c r="F324" s="238"/>
      <c r="G324" s="238"/>
      <c r="H324" s="238"/>
    </row>
    <row r="325" spans="1:8" x14ac:dyDescent="0.2">
      <c r="A325" s="238"/>
      <c r="B325" s="238"/>
      <c r="C325" s="238"/>
      <c r="D325" s="238"/>
      <c r="E325" s="238"/>
      <c r="F325" s="238"/>
      <c r="G325" s="238"/>
      <c r="H325" s="238"/>
    </row>
    <row r="326" spans="1:8" x14ac:dyDescent="0.2">
      <c r="A326" s="238"/>
      <c r="B326" s="238"/>
      <c r="C326" s="238"/>
      <c r="D326" s="238"/>
      <c r="E326" s="238"/>
      <c r="F326" s="238"/>
      <c r="G326" s="238"/>
      <c r="H326" s="238"/>
    </row>
    <row r="327" spans="1:8" x14ac:dyDescent="0.2">
      <c r="A327" s="238"/>
      <c r="B327" s="238"/>
      <c r="C327" s="238"/>
      <c r="D327" s="238"/>
      <c r="E327" s="238"/>
      <c r="F327" s="238"/>
      <c r="G327" s="238"/>
      <c r="H327" s="238"/>
    </row>
    <row r="328" spans="1:8" x14ac:dyDescent="0.2">
      <c r="A328" s="238"/>
      <c r="B328" s="238"/>
      <c r="C328" s="238"/>
      <c r="D328" s="238"/>
      <c r="E328" s="238"/>
      <c r="F328" s="238"/>
      <c r="G328" s="238"/>
      <c r="H328" s="238"/>
    </row>
    <row r="329" spans="1:8" x14ac:dyDescent="0.2">
      <c r="A329" s="238"/>
      <c r="B329" s="238"/>
      <c r="C329" s="238"/>
      <c r="D329" s="238"/>
      <c r="E329" s="238"/>
      <c r="F329" s="238"/>
      <c r="G329" s="238"/>
      <c r="H329" s="238"/>
    </row>
    <row r="330" spans="1:8" x14ac:dyDescent="0.2">
      <c r="A330" s="238"/>
      <c r="B330" s="238"/>
      <c r="C330" s="238"/>
      <c r="D330" s="238"/>
      <c r="E330" s="238"/>
      <c r="F330" s="238"/>
      <c r="G330" s="238"/>
      <c r="H330" s="238"/>
    </row>
    <row r="331" spans="1:8" x14ac:dyDescent="0.2">
      <c r="A331" s="238"/>
      <c r="B331" s="238"/>
      <c r="C331" s="238"/>
      <c r="D331" s="238"/>
      <c r="E331" s="238"/>
      <c r="F331" s="238"/>
      <c r="G331" s="238"/>
      <c r="H331" s="238"/>
    </row>
    <row r="332" spans="1:8" x14ac:dyDescent="0.2">
      <c r="A332" s="238"/>
      <c r="B332" s="238"/>
      <c r="C332" s="238"/>
      <c r="D332" s="238"/>
      <c r="E332" s="238"/>
      <c r="F332" s="238"/>
      <c r="G332" s="238"/>
      <c r="H332" s="238"/>
    </row>
    <row r="333" spans="1:8" x14ac:dyDescent="0.2">
      <c r="A333" s="238"/>
      <c r="B333" s="238"/>
      <c r="C333" s="238"/>
      <c r="D333" s="238"/>
      <c r="E333" s="238"/>
      <c r="F333" s="238"/>
      <c r="G333" s="238"/>
      <c r="H333" s="238"/>
    </row>
    <row r="334" spans="1:8" x14ac:dyDescent="0.2">
      <c r="A334" s="238"/>
      <c r="B334" s="238"/>
      <c r="C334" s="238"/>
      <c r="D334" s="238"/>
      <c r="E334" s="238"/>
      <c r="F334" s="238"/>
      <c r="G334" s="238"/>
      <c r="H334" s="238"/>
    </row>
    <row r="335" spans="1:8" x14ac:dyDescent="0.2">
      <c r="A335" s="238"/>
      <c r="B335" s="238"/>
      <c r="C335" s="238"/>
      <c r="D335" s="238"/>
      <c r="E335" s="238"/>
      <c r="F335" s="238"/>
      <c r="G335" s="238"/>
      <c r="H335" s="238"/>
    </row>
    <row r="336" spans="1:8" x14ac:dyDescent="0.2">
      <c r="A336" s="238"/>
      <c r="B336" s="238"/>
      <c r="C336" s="238"/>
      <c r="D336" s="238"/>
      <c r="E336" s="238"/>
      <c r="F336" s="238"/>
      <c r="G336" s="238"/>
      <c r="H336" s="238"/>
    </row>
    <row r="337" spans="1:8" x14ac:dyDescent="0.2">
      <c r="A337" s="238"/>
      <c r="B337" s="238"/>
      <c r="C337" s="238"/>
      <c r="D337" s="238"/>
      <c r="E337" s="238"/>
      <c r="F337" s="238"/>
      <c r="G337" s="238"/>
      <c r="H337" s="238"/>
    </row>
    <row r="338" spans="1:8" x14ac:dyDescent="0.2">
      <c r="A338" s="238"/>
      <c r="B338" s="238"/>
      <c r="C338" s="238"/>
      <c r="D338" s="238"/>
      <c r="E338" s="238"/>
      <c r="F338" s="238"/>
      <c r="G338" s="238"/>
      <c r="H338" s="238"/>
    </row>
    <row r="339" spans="1:8" x14ac:dyDescent="0.2">
      <c r="A339" s="238"/>
      <c r="B339" s="238"/>
      <c r="C339" s="238"/>
      <c r="D339" s="238"/>
      <c r="E339" s="238"/>
      <c r="F339" s="238"/>
      <c r="G339" s="238"/>
      <c r="H339" s="238"/>
    </row>
    <row r="340" spans="1:8" x14ac:dyDescent="0.2">
      <c r="A340" s="238"/>
      <c r="B340" s="238"/>
      <c r="C340" s="238"/>
      <c r="D340" s="238"/>
      <c r="E340" s="238"/>
      <c r="F340" s="238"/>
      <c r="G340" s="238"/>
      <c r="H340" s="238"/>
    </row>
    <row r="341" spans="1:8" x14ac:dyDescent="0.2">
      <c r="A341" s="238"/>
      <c r="B341" s="238"/>
      <c r="C341" s="238"/>
      <c r="D341" s="238"/>
      <c r="E341" s="238"/>
      <c r="F341" s="238"/>
      <c r="G341" s="238"/>
      <c r="H341" s="238"/>
    </row>
    <row r="342" spans="1:8" x14ac:dyDescent="0.2">
      <c r="A342" s="238"/>
      <c r="B342" s="238"/>
      <c r="C342" s="238"/>
      <c r="D342" s="238"/>
      <c r="E342" s="238"/>
      <c r="F342" s="238"/>
      <c r="G342" s="238"/>
      <c r="H342" s="238"/>
    </row>
    <row r="343" spans="1:8" x14ac:dyDescent="0.2">
      <c r="A343" s="238"/>
      <c r="B343" s="238"/>
      <c r="C343" s="238"/>
      <c r="D343" s="238"/>
      <c r="E343" s="238"/>
      <c r="F343" s="238"/>
      <c r="G343" s="238"/>
      <c r="H343" s="238"/>
    </row>
    <row r="344" spans="1:8" x14ac:dyDescent="0.2">
      <c r="A344" s="238"/>
      <c r="B344" s="238"/>
      <c r="C344" s="238"/>
      <c r="D344" s="238"/>
      <c r="E344" s="238"/>
      <c r="F344" s="238"/>
      <c r="G344" s="238"/>
      <c r="H344" s="238"/>
    </row>
    <row r="345" spans="1:8" x14ac:dyDescent="0.2">
      <c r="A345" s="238"/>
      <c r="B345" s="238"/>
      <c r="C345" s="238"/>
      <c r="D345" s="238"/>
      <c r="E345" s="238"/>
      <c r="F345" s="238"/>
      <c r="G345" s="238"/>
      <c r="H345" s="238"/>
    </row>
    <row r="346" spans="1:8" x14ac:dyDescent="0.2">
      <c r="A346" s="238"/>
      <c r="B346" s="238"/>
      <c r="C346" s="238"/>
      <c r="D346" s="238"/>
      <c r="E346" s="238"/>
      <c r="F346" s="238"/>
      <c r="G346" s="238"/>
      <c r="H346" s="238"/>
    </row>
    <row r="347" spans="1:8" x14ac:dyDescent="0.2">
      <c r="A347" s="238"/>
      <c r="B347" s="238"/>
      <c r="C347" s="238"/>
      <c r="D347" s="238"/>
      <c r="E347" s="238"/>
      <c r="F347" s="238"/>
      <c r="G347" s="238"/>
      <c r="H347" s="238"/>
    </row>
    <row r="348" spans="1:8" x14ac:dyDescent="0.2">
      <c r="A348" s="238"/>
      <c r="B348" s="238"/>
      <c r="C348" s="238"/>
      <c r="D348" s="238"/>
      <c r="E348" s="238"/>
      <c r="F348" s="238"/>
      <c r="G348" s="238"/>
      <c r="H348" s="238"/>
    </row>
    <row r="349" spans="1:8" x14ac:dyDescent="0.2">
      <c r="A349" s="238"/>
      <c r="B349" s="238"/>
      <c r="C349" s="238"/>
      <c r="D349" s="238"/>
      <c r="E349" s="238"/>
      <c r="F349" s="238"/>
      <c r="G349" s="238"/>
      <c r="H349" s="238"/>
    </row>
    <row r="350" spans="1:8" x14ac:dyDescent="0.2">
      <c r="A350" s="238"/>
      <c r="B350" s="238"/>
      <c r="C350" s="238"/>
      <c r="D350" s="238"/>
      <c r="E350" s="238"/>
      <c r="F350" s="238"/>
      <c r="G350" s="238"/>
      <c r="H350" s="238"/>
    </row>
    <row r="351" spans="1:8" x14ac:dyDescent="0.2">
      <c r="A351" s="238"/>
      <c r="B351" s="238"/>
      <c r="C351" s="238"/>
      <c r="D351" s="238"/>
      <c r="E351" s="238"/>
      <c r="F351" s="238"/>
      <c r="G351" s="238"/>
      <c r="H351" s="238"/>
    </row>
    <row r="352" spans="1:8" x14ac:dyDescent="0.2">
      <c r="A352" s="238"/>
      <c r="B352" s="238"/>
      <c r="C352" s="238"/>
      <c r="D352" s="238"/>
      <c r="E352" s="238"/>
      <c r="F352" s="238"/>
      <c r="G352" s="238"/>
      <c r="H352" s="238"/>
    </row>
    <row r="353" spans="1:8" x14ac:dyDescent="0.2">
      <c r="A353" s="238"/>
      <c r="B353" s="238"/>
      <c r="C353" s="238"/>
      <c r="D353" s="238"/>
      <c r="E353" s="238"/>
      <c r="F353" s="238"/>
      <c r="G353" s="238"/>
      <c r="H353" s="238"/>
    </row>
    <row r="354" spans="1:8" x14ac:dyDescent="0.2">
      <c r="A354" s="238"/>
      <c r="B354" s="238"/>
      <c r="C354" s="238"/>
      <c r="D354" s="238"/>
      <c r="E354" s="238"/>
      <c r="F354" s="238"/>
      <c r="G354" s="238"/>
      <c r="H354" s="238"/>
    </row>
    <row r="355" spans="1:8" x14ac:dyDescent="0.2">
      <c r="A355" s="238"/>
      <c r="B355" s="238"/>
      <c r="C355" s="238"/>
      <c r="D355" s="238"/>
      <c r="E355" s="238"/>
      <c r="F355" s="238"/>
      <c r="G355" s="238"/>
      <c r="H355" s="238"/>
    </row>
    <row r="356" spans="1:8" x14ac:dyDescent="0.2">
      <c r="A356" s="238"/>
      <c r="B356" s="238"/>
      <c r="C356" s="238"/>
      <c r="D356" s="238"/>
      <c r="E356" s="238"/>
      <c r="F356" s="238"/>
      <c r="G356" s="238"/>
      <c r="H356" s="238"/>
    </row>
    <row r="357" spans="1:8" x14ac:dyDescent="0.2">
      <c r="A357" s="238"/>
      <c r="B357" s="238"/>
      <c r="C357" s="238"/>
      <c r="D357" s="238"/>
      <c r="E357" s="238"/>
      <c r="F357" s="238"/>
      <c r="G357" s="238"/>
      <c r="H357" s="238"/>
    </row>
    <row r="358" spans="1:8" x14ac:dyDescent="0.2">
      <c r="A358" s="238"/>
      <c r="B358" s="238"/>
      <c r="C358" s="238"/>
      <c r="D358" s="238"/>
      <c r="E358" s="238"/>
      <c r="F358" s="238"/>
      <c r="G358" s="238"/>
      <c r="H358" s="238"/>
    </row>
    <row r="359" spans="1:8" x14ac:dyDescent="0.2">
      <c r="A359" s="238"/>
      <c r="B359" s="238"/>
      <c r="C359" s="238"/>
      <c r="D359" s="238"/>
      <c r="E359" s="238"/>
      <c r="F359" s="238"/>
      <c r="G359" s="238"/>
      <c r="H359" s="238"/>
    </row>
    <row r="360" spans="1:8" x14ac:dyDescent="0.2">
      <c r="A360" s="238"/>
      <c r="B360" s="238"/>
      <c r="C360" s="238"/>
      <c r="D360" s="238"/>
      <c r="E360" s="238"/>
      <c r="F360" s="238"/>
      <c r="G360" s="238"/>
      <c r="H360" s="238"/>
    </row>
    <row r="361" spans="1:8" x14ac:dyDescent="0.2">
      <c r="A361" s="238"/>
      <c r="B361" s="238"/>
      <c r="C361" s="238"/>
      <c r="D361" s="238"/>
      <c r="E361" s="238"/>
      <c r="F361" s="238"/>
      <c r="G361" s="238"/>
      <c r="H361" s="238"/>
    </row>
    <row r="362" spans="1:8" x14ac:dyDescent="0.2">
      <c r="A362" s="238"/>
      <c r="B362" s="238"/>
      <c r="C362" s="238"/>
      <c r="D362" s="238"/>
      <c r="E362" s="238"/>
      <c r="F362" s="238"/>
      <c r="G362" s="238"/>
      <c r="H362" s="238"/>
    </row>
    <row r="363" spans="1:8" x14ac:dyDescent="0.2">
      <c r="A363" s="238"/>
      <c r="B363" s="238"/>
      <c r="C363" s="238"/>
      <c r="D363" s="238"/>
      <c r="E363" s="238"/>
      <c r="F363" s="238"/>
      <c r="G363" s="238"/>
      <c r="H363" s="238"/>
    </row>
    <row r="364" spans="1:8" x14ac:dyDescent="0.2">
      <c r="A364" s="238"/>
      <c r="B364" s="238"/>
      <c r="C364" s="238"/>
      <c r="D364" s="238"/>
      <c r="E364" s="238"/>
      <c r="F364" s="238"/>
      <c r="G364" s="238"/>
      <c r="H364" s="238"/>
    </row>
    <row r="365" spans="1:8" x14ac:dyDescent="0.2">
      <c r="A365" s="238"/>
      <c r="B365" s="238"/>
      <c r="C365" s="238"/>
      <c r="D365" s="238"/>
      <c r="E365" s="238"/>
      <c r="F365" s="238"/>
      <c r="G365" s="238"/>
      <c r="H365" s="238"/>
    </row>
    <row r="366" spans="1:8" x14ac:dyDescent="0.2">
      <c r="A366" s="238"/>
      <c r="B366" s="238"/>
      <c r="C366" s="238"/>
      <c r="D366" s="238"/>
      <c r="E366" s="238"/>
      <c r="F366" s="238"/>
      <c r="G366" s="238"/>
      <c r="H366" s="238"/>
    </row>
    <row r="367" spans="1:8" x14ac:dyDescent="0.2">
      <c r="A367" s="238"/>
      <c r="B367" s="238"/>
      <c r="C367" s="238"/>
      <c r="D367" s="238"/>
      <c r="E367" s="238"/>
      <c r="F367" s="238"/>
      <c r="G367" s="238"/>
      <c r="H367" s="238"/>
    </row>
    <row r="368" spans="1:8" x14ac:dyDescent="0.2">
      <c r="A368" s="238"/>
      <c r="B368" s="238"/>
      <c r="C368" s="238"/>
      <c r="D368" s="238"/>
      <c r="E368" s="238"/>
      <c r="F368" s="238"/>
      <c r="G368" s="238"/>
      <c r="H368" s="238"/>
    </row>
    <row r="369" spans="1:8" x14ac:dyDescent="0.2">
      <c r="A369" s="238"/>
      <c r="B369" s="238"/>
      <c r="C369" s="238"/>
      <c r="D369" s="238"/>
      <c r="E369" s="238"/>
      <c r="F369" s="238"/>
      <c r="G369" s="238"/>
      <c r="H369" s="238"/>
    </row>
    <row r="370" spans="1:8" x14ac:dyDescent="0.2">
      <c r="A370" s="238"/>
      <c r="B370" s="238"/>
      <c r="C370" s="238"/>
      <c r="D370" s="238"/>
      <c r="E370" s="238"/>
      <c r="F370" s="238"/>
      <c r="G370" s="238"/>
      <c r="H370" s="238"/>
    </row>
    <row r="371" spans="1:8" x14ac:dyDescent="0.2">
      <c r="A371" s="238"/>
      <c r="B371" s="238"/>
      <c r="C371" s="238"/>
      <c r="D371" s="238"/>
      <c r="E371" s="238"/>
      <c r="F371" s="238"/>
      <c r="G371" s="238"/>
      <c r="H371" s="238"/>
    </row>
    <row r="372" spans="1:8" x14ac:dyDescent="0.2">
      <c r="A372" s="238"/>
      <c r="B372" s="238"/>
      <c r="C372" s="238"/>
      <c r="D372" s="238"/>
      <c r="E372" s="238"/>
      <c r="F372" s="238"/>
      <c r="G372" s="238"/>
      <c r="H372" s="238"/>
    </row>
    <row r="373" spans="1:8" x14ac:dyDescent="0.2">
      <c r="A373" s="238"/>
      <c r="B373" s="238"/>
      <c r="C373" s="238"/>
      <c r="D373" s="238"/>
      <c r="E373" s="238"/>
      <c r="F373" s="238"/>
      <c r="G373" s="238"/>
      <c r="H373" s="238"/>
    </row>
    <row r="374" spans="1:8" x14ac:dyDescent="0.2">
      <c r="A374" s="238"/>
      <c r="B374" s="238"/>
      <c r="C374" s="238"/>
      <c r="D374" s="238"/>
      <c r="E374" s="238"/>
      <c r="F374" s="238"/>
      <c r="G374" s="238"/>
      <c r="H374" s="238"/>
    </row>
    <row r="375" spans="1:8" x14ac:dyDescent="0.2">
      <c r="A375" s="238"/>
      <c r="B375" s="238"/>
      <c r="C375" s="238"/>
      <c r="D375" s="238"/>
      <c r="E375" s="238"/>
      <c r="F375" s="238"/>
      <c r="G375" s="238"/>
      <c r="H375" s="238"/>
    </row>
    <row r="376" spans="1:8" x14ac:dyDescent="0.2">
      <c r="A376" s="238"/>
      <c r="B376" s="238"/>
      <c r="C376" s="238"/>
      <c r="D376" s="238"/>
      <c r="E376" s="238"/>
      <c r="F376" s="238"/>
      <c r="G376" s="238"/>
      <c r="H376" s="238"/>
    </row>
    <row r="377" spans="1:8" x14ac:dyDescent="0.2">
      <c r="A377" s="238"/>
      <c r="B377" s="238"/>
      <c r="C377" s="238"/>
      <c r="D377" s="238"/>
      <c r="E377" s="238"/>
      <c r="F377" s="238"/>
      <c r="G377" s="238"/>
      <c r="H377" s="238"/>
    </row>
    <row r="378" spans="1:8" x14ac:dyDescent="0.2">
      <c r="A378" s="238"/>
      <c r="B378" s="238"/>
      <c r="C378" s="238"/>
      <c r="D378" s="238"/>
      <c r="E378" s="238"/>
      <c r="F378" s="238"/>
      <c r="G378" s="238"/>
      <c r="H378" s="238"/>
    </row>
    <row r="379" spans="1:8" x14ac:dyDescent="0.2">
      <c r="A379" s="238"/>
      <c r="B379" s="238"/>
      <c r="C379" s="238"/>
      <c r="D379" s="238"/>
      <c r="E379" s="238"/>
      <c r="F379" s="238"/>
      <c r="G379" s="238"/>
      <c r="H379" s="238"/>
    </row>
    <row r="380" spans="1:8" x14ac:dyDescent="0.2">
      <c r="A380" s="238"/>
      <c r="B380" s="238"/>
      <c r="C380" s="238"/>
      <c r="D380" s="238"/>
      <c r="E380" s="238"/>
      <c r="F380" s="238"/>
      <c r="G380" s="238"/>
      <c r="H380" s="238"/>
    </row>
    <row r="381" spans="1:8" x14ac:dyDescent="0.2">
      <c r="A381" s="238"/>
      <c r="B381" s="238"/>
      <c r="C381" s="238"/>
      <c r="D381" s="238"/>
      <c r="E381" s="238"/>
      <c r="F381" s="238"/>
      <c r="G381" s="238"/>
      <c r="H381" s="238"/>
    </row>
    <row r="382" spans="1:8" x14ac:dyDescent="0.2">
      <c r="A382" s="238"/>
      <c r="B382" s="238"/>
      <c r="C382" s="238"/>
      <c r="D382" s="238"/>
      <c r="E382" s="238"/>
      <c r="F382" s="238"/>
      <c r="G382" s="238"/>
      <c r="H382" s="238"/>
    </row>
    <row r="383" spans="1:8" x14ac:dyDescent="0.2">
      <c r="A383" s="238"/>
      <c r="B383" s="238"/>
      <c r="C383" s="238"/>
      <c r="D383" s="238"/>
      <c r="E383" s="238"/>
      <c r="F383" s="238"/>
      <c r="G383" s="238"/>
      <c r="H383" s="238"/>
    </row>
    <row r="384" spans="1:8" x14ac:dyDescent="0.2">
      <c r="A384" s="238"/>
      <c r="B384" s="238"/>
      <c r="C384" s="238"/>
      <c r="D384" s="238"/>
      <c r="E384" s="238"/>
      <c r="F384" s="238"/>
      <c r="G384" s="238"/>
      <c r="H384" s="238"/>
    </row>
    <row r="385" spans="1:8" x14ac:dyDescent="0.2">
      <c r="A385" s="238"/>
      <c r="B385" s="238"/>
      <c r="C385" s="238"/>
      <c r="D385" s="238"/>
      <c r="E385" s="238"/>
      <c r="F385" s="238"/>
      <c r="G385" s="238"/>
      <c r="H385" s="238"/>
    </row>
    <row r="386" spans="1:8" x14ac:dyDescent="0.2">
      <c r="A386" s="238"/>
      <c r="B386" s="238"/>
      <c r="C386" s="238"/>
      <c r="D386" s="238"/>
      <c r="E386" s="238"/>
      <c r="F386" s="238"/>
      <c r="G386" s="238"/>
      <c r="H386" s="238"/>
    </row>
    <row r="387" spans="1:8" x14ac:dyDescent="0.2">
      <c r="A387" s="238"/>
      <c r="B387" s="238"/>
      <c r="C387" s="238"/>
      <c r="D387" s="238"/>
      <c r="E387" s="238"/>
      <c r="F387" s="238"/>
      <c r="G387" s="238"/>
      <c r="H387" s="238"/>
    </row>
    <row r="388" spans="1:8" x14ac:dyDescent="0.2">
      <c r="A388" s="238"/>
      <c r="B388" s="238"/>
      <c r="C388" s="238"/>
      <c r="D388" s="238"/>
      <c r="E388" s="238"/>
      <c r="F388" s="238"/>
      <c r="G388" s="238"/>
      <c r="H388" s="238"/>
    </row>
    <row r="389" spans="1:8" x14ac:dyDescent="0.2">
      <c r="A389" s="238"/>
      <c r="B389" s="238"/>
      <c r="C389" s="238"/>
      <c r="D389" s="238"/>
      <c r="E389" s="238"/>
      <c r="F389" s="238"/>
      <c r="G389" s="238"/>
      <c r="H389" s="238"/>
    </row>
    <row r="390" spans="1:8" x14ac:dyDescent="0.2">
      <c r="A390" s="238"/>
      <c r="B390" s="238"/>
      <c r="C390" s="238"/>
      <c r="D390" s="238"/>
      <c r="E390" s="238"/>
      <c r="F390" s="238"/>
      <c r="G390" s="238"/>
      <c r="H390" s="238"/>
    </row>
    <row r="391" spans="1:8" x14ac:dyDescent="0.2">
      <c r="A391" s="238"/>
      <c r="B391" s="238"/>
      <c r="C391" s="238"/>
      <c r="D391" s="238"/>
      <c r="E391" s="238"/>
      <c r="F391" s="238"/>
      <c r="G391" s="238"/>
      <c r="H391" s="238"/>
    </row>
    <row r="392" spans="1:8" x14ac:dyDescent="0.2">
      <c r="A392" s="238"/>
      <c r="B392" s="238"/>
      <c r="C392" s="238"/>
      <c r="D392" s="238"/>
      <c r="E392" s="238"/>
      <c r="F392" s="238"/>
      <c r="G392" s="238"/>
      <c r="H392" s="238"/>
    </row>
    <row r="393" spans="1:8" x14ac:dyDescent="0.2">
      <c r="A393" s="238"/>
      <c r="B393" s="238"/>
      <c r="C393" s="238"/>
      <c r="D393" s="238"/>
      <c r="E393" s="238"/>
      <c r="F393" s="238"/>
      <c r="G393" s="238"/>
      <c r="H393" s="238"/>
    </row>
    <row r="394" spans="1:8" x14ac:dyDescent="0.2">
      <c r="A394" s="238"/>
      <c r="B394" s="238"/>
      <c r="C394" s="238"/>
      <c r="D394" s="238"/>
      <c r="E394" s="238"/>
      <c r="F394" s="238"/>
      <c r="G394" s="238"/>
      <c r="H394" s="238"/>
    </row>
    <row r="395" spans="1:8" x14ac:dyDescent="0.2">
      <c r="A395" s="238"/>
      <c r="B395" s="238"/>
      <c r="C395" s="238"/>
      <c r="D395" s="238"/>
      <c r="E395" s="238"/>
      <c r="F395" s="238"/>
      <c r="G395" s="238"/>
      <c r="H395" s="238"/>
    </row>
    <row r="396" spans="1:8" x14ac:dyDescent="0.2">
      <c r="A396" s="238"/>
      <c r="B396" s="238"/>
      <c r="C396" s="238"/>
      <c r="D396" s="238"/>
      <c r="E396" s="238"/>
      <c r="F396" s="238"/>
      <c r="G396" s="238"/>
      <c r="H396" s="238"/>
    </row>
    <row r="397" spans="1:8" x14ac:dyDescent="0.2">
      <c r="A397" s="238"/>
      <c r="B397" s="238"/>
      <c r="C397" s="238"/>
      <c r="D397" s="238"/>
      <c r="E397" s="238"/>
      <c r="F397" s="238"/>
      <c r="G397" s="238"/>
      <c r="H397" s="238"/>
    </row>
    <row r="398" spans="1:8" x14ac:dyDescent="0.2">
      <c r="A398" s="238"/>
      <c r="B398" s="238"/>
      <c r="C398" s="238"/>
      <c r="D398" s="238"/>
      <c r="E398" s="238"/>
      <c r="F398" s="238"/>
      <c r="G398" s="238"/>
      <c r="H398" s="238"/>
    </row>
    <row r="399" spans="1:8" x14ac:dyDescent="0.2">
      <c r="A399" s="238"/>
      <c r="B399" s="238"/>
      <c r="C399" s="238"/>
      <c r="D399" s="238"/>
      <c r="E399" s="238"/>
      <c r="F399" s="238"/>
      <c r="G399" s="238"/>
      <c r="H399" s="238"/>
    </row>
    <row r="400" spans="1:8" x14ac:dyDescent="0.2">
      <c r="A400" s="238"/>
      <c r="B400" s="238"/>
      <c r="C400" s="238"/>
      <c r="D400" s="238"/>
      <c r="E400" s="238"/>
      <c r="F400" s="238"/>
      <c r="G400" s="238"/>
      <c r="H400" s="238"/>
    </row>
    <row r="401" spans="1:8" x14ac:dyDescent="0.2">
      <c r="A401" s="238"/>
      <c r="B401" s="238"/>
      <c r="C401" s="238"/>
      <c r="D401" s="238"/>
      <c r="E401" s="238"/>
      <c r="F401" s="238"/>
      <c r="G401" s="238"/>
      <c r="H401" s="238"/>
    </row>
    <row r="402" spans="1:8" x14ac:dyDescent="0.2">
      <c r="A402" s="238"/>
      <c r="B402" s="238"/>
      <c r="C402" s="238"/>
      <c r="D402" s="238"/>
      <c r="E402" s="238"/>
      <c r="F402" s="238"/>
      <c r="G402" s="238"/>
      <c r="H402" s="238"/>
    </row>
    <row r="403" spans="1:8" x14ac:dyDescent="0.2">
      <c r="A403" s="238"/>
      <c r="B403" s="238"/>
      <c r="C403" s="238"/>
      <c r="D403" s="238"/>
      <c r="E403" s="238"/>
      <c r="F403" s="238"/>
      <c r="G403" s="238"/>
      <c r="H403" s="238"/>
    </row>
    <row r="404" spans="1:8" x14ac:dyDescent="0.2">
      <c r="A404" s="238"/>
      <c r="B404" s="238"/>
      <c r="C404" s="238"/>
      <c r="D404" s="238"/>
      <c r="E404" s="238"/>
      <c r="F404" s="238"/>
      <c r="G404" s="238"/>
      <c r="H404" s="238"/>
    </row>
    <row r="405" spans="1:8" x14ac:dyDescent="0.2">
      <c r="A405" s="238"/>
      <c r="B405" s="238"/>
      <c r="C405" s="238"/>
      <c r="D405" s="238"/>
      <c r="E405" s="238"/>
      <c r="F405" s="238"/>
      <c r="G405" s="238"/>
      <c r="H405" s="238"/>
    </row>
    <row r="406" spans="1:8" x14ac:dyDescent="0.2">
      <c r="A406" s="238"/>
      <c r="B406" s="238"/>
      <c r="C406" s="238"/>
      <c r="D406" s="238"/>
      <c r="E406" s="238"/>
      <c r="F406" s="238"/>
      <c r="G406" s="238"/>
      <c r="H406" s="238"/>
    </row>
    <row r="407" spans="1:8" x14ac:dyDescent="0.2">
      <c r="A407" s="238"/>
      <c r="B407" s="238"/>
      <c r="C407" s="238"/>
      <c r="D407" s="238"/>
      <c r="E407" s="238"/>
      <c r="F407" s="238"/>
      <c r="G407" s="238"/>
      <c r="H407" s="238"/>
    </row>
    <row r="408" spans="1:8" x14ac:dyDescent="0.2">
      <c r="A408" s="238"/>
      <c r="B408" s="238"/>
      <c r="C408" s="238"/>
      <c r="D408" s="238"/>
      <c r="E408" s="238"/>
      <c r="F408" s="238"/>
      <c r="G408" s="238"/>
      <c r="H408" s="238"/>
    </row>
    <row r="409" spans="1:8" x14ac:dyDescent="0.2">
      <c r="A409" s="238"/>
      <c r="B409" s="238"/>
      <c r="C409" s="238"/>
      <c r="D409" s="238"/>
      <c r="E409" s="238"/>
      <c r="F409" s="238"/>
      <c r="G409" s="238"/>
      <c r="H409" s="238"/>
    </row>
    <row r="410" spans="1:8" x14ac:dyDescent="0.2">
      <c r="A410" s="238"/>
      <c r="B410" s="238"/>
      <c r="C410" s="238"/>
      <c r="D410" s="238"/>
      <c r="E410" s="238"/>
      <c r="F410" s="238"/>
      <c r="G410" s="238"/>
      <c r="H410" s="238"/>
    </row>
    <row r="411" spans="1:8" x14ac:dyDescent="0.2">
      <c r="A411" s="238"/>
      <c r="B411" s="238"/>
      <c r="C411" s="238"/>
      <c r="D411" s="238"/>
      <c r="E411" s="238"/>
      <c r="F411" s="238"/>
      <c r="G411" s="238"/>
      <c r="H411" s="238"/>
    </row>
    <row r="412" spans="1:8" x14ac:dyDescent="0.2">
      <c r="A412" s="238"/>
      <c r="B412" s="238"/>
      <c r="C412" s="238"/>
      <c r="D412" s="238"/>
      <c r="E412" s="238"/>
      <c r="F412" s="238"/>
      <c r="G412" s="238"/>
      <c r="H412" s="238"/>
    </row>
    <row r="413" spans="1:8" x14ac:dyDescent="0.2">
      <c r="A413" s="238"/>
      <c r="B413" s="238"/>
      <c r="C413" s="238"/>
      <c r="D413" s="238"/>
      <c r="E413" s="238"/>
      <c r="F413" s="238"/>
      <c r="G413" s="238"/>
      <c r="H413" s="238"/>
    </row>
    <row r="414" spans="1:8" x14ac:dyDescent="0.2">
      <c r="A414" s="238"/>
      <c r="B414" s="238"/>
      <c r="C414" s="238"/>
      <c r="D414" s="238"/>
      <c r="E414" s="238"/>
      <c r="F414" s="238"/>
      <c r="G414" s="238"/>
      <c r="H414" s="238"/>
    </row>
    <row r="415" spans="1:8" x14ac:dyDescent="0.2">
      <c r="A415" s="238"/>
      <c r="B415" s="238"/>
      <c r="C415" s="238"/>
      <c r="D415" s="238"/>
      <c r="E415" s="238"/>
      <c r="F415" s="238"/>
      <c r="G415" s="238"/>
      <c r="H415" s="238"/>
    </row>
    <row r="416" spans="1:8" x14ac:dyDescent="0.2">
      <c r="A416" s="238"/>
      <c r="B416" s="238"/>
      <c r="C416" s="238"/>
      <c r="D416" s="238"/>
      <c r="E416" s="238"/>
      <c r="F416" s="238"/>
      <c r="G416" s="238"/>
      <c r="H416" s="238"/>
    </row>
    <row r="417" spans="1:8" x14ac:dyDescent="0.2">
      <c r="A417" s="238"/>
      <c r="B417" s="238"/>
      <c r="C417" s="238"/>
      <c r="D417" s="238"/>
      <c r="E417" s="238"/>
      <c r="F417" s="238"/>
      <c r="G417" s="238"/>
      <c r="H417" s="238"/>
    </row>
    <row r="418" spans="1:8" x14ac:dyDescent="0.2">
      <c r="A418" s="238"/>
      <c r="B418" s="238"/>
      <c r="C418" s="238"/>
      <c r="D418" s="238"/>
      <c r="E418" s="238"/>
      <c r="F418" s="238"/>
      <c r="G418" s="238"/>
      <c r="H418" s="238"/>
    </row>
    <row r="419" spans="1:8" x14ac:dyDescent="0.2">
      <c r="A419" s="238"/>
      <c r="B419" s="238"/>
      <c r="C419" s="238"/>
      <c r="D419" s="238"/>
      <c r="E419" s="238"/>
      <c r="F419" s="238"/>
      <c r="G419" s="238"/>
      <c r="H419" s="238"/>
    </row>
    <row r="420" spans="1:8" x14ac:dyDescent="0.2">
      <c r="A420" s="238"/>
      <c r="B420" s="238"/>
      <c r="C420" s="238"/>
      <c r="D420" s="238"/>
      <c r="E420" s="238"/>
      <c r="F420" s="238"/>
      <c r="G420" s="238"/>
      <c r="H420" s="238"/>
    </row>
    <row r="421" spans="1:8" x14ac:dyDescent="0.2">
      <c r="A421" s="238"/>
      <c r="B421" s="238"/>
      <c r="C421" s="238"/>
      <c r="D421" s="238"/>
      <c r="E421" s="238"/>
      <c r="F421" s="238"/>
      <c r="G421" s="238"/>
      <c r="H421" s="238"/>
    </row>
    <row r="422" spans="1:8" x14ac:dyDescent="0.2">
      <c r="A422" s="238"/>
      <c r="B422" s="238"/>
      <c r="C422" s="238"/>
      <c r="D422" s="238"/>
      <c r="E422" s="238"/>
      <c r="F422" s="238"/>
      <c r="G422" s="238"/>
      <c r="H422" s="238"/>
    </row>
    <row r="423" spans="1:8" x14ac:dyDescent="0.2">
      <c r="A423" s="238"/>
      <c r="B423" s="238"/>
      <c r="C423" s="238"/>
      <c r="D423" s="238"/>
      <c r="E423" s="238"/>
      <c r="F423" s="238"/>
      <c r="G423" s="238"/>
      <c r="H423" s="238"/>
    </row>
    <row r="424" spans="1:8" x14ac:dyDescent="0.2">
      <c r="A424" s="238"/>
      <c r="B424" s="238"/>
      <c r="C424" s="238"/>
      <c r="D424" s="238"/>
      <c r="E424" s="238"/>
      <c r="F424" s="238"/>
      <c r="G424" s="238"/>
      <c r="H424" s="238"/>
    </row>
    <row r="425" spans="1:8" x14ac:dyDescent="0.2">
      <c r="A425" s="238"/>
      <c r="B425" s="238"/>
      <c r="C425" s="238"/>
      <c r="D425" s="238"/>
      <c r="E425" s="238"/>
      <c r="F425" s="238"/>
      <c r="G425" s="238"/>
      <c r="H425" s="238"/>
    </row>
    <row r="426" spans="1:8" x14ac:dyDescent="0.2">
      <c r="A426" s="238"/>
      <c r="B426" s="238"/>
      <c r="C426" s="238"/>
      <c r="D426" s="238"/>
      <c r="E426" s="238"/>
      <c r="F426" s="238"/>
      <c r="G426" s="238"/>
      <c r="H426" s="238"/>
    </row>
    <row r="427" spans="1:8" x14ac:dyDescent="0.2">
      <c r="A427" s="238"/>
      <c r="B427" s="238"/>
      <c r="C427" s="238"/>
      <c r="D427" s="238"/>
      <c r="E427" s="238"/>
      <c r="F427" s="238"/>
      <c r="G427" s="238"/>
      <c r="H427" s="238"/>
    </row>
    <row r="428" spans="1:8" x14ac:dyDescent="0.2">
      <c r="A428" s="238"/>
      <c r="B428" s="238"/>
      <c r="C428" s="238"/>
      <c r="D428" s="238"/>
      <c r="E428" s="238"/>
      <c r="F428" s="238"/>
      <c r="G428" s="238"/>
      <c r="H428" s="238"/>
    </row>
    <row r="429" spans="1:8" x14ac:dyDescent="0.2">
      <c r="A429" s="238"/>
      <c r="B429" s="238"/>
      <c r="C429" s="238"/>
      <c r="D429" s="238"/>
      <c r="E429" s="238"/>
      <c r="F429" s="238"/>
      <c r="G429" s="238"/>
      <c r="H429" s="238"/>
    </row>
    <row r="430" spans="1:8" x14ac:dyDescent="0.2">
      <c r="A430" s="238"/>
      <c r="B430" s="238"/>
      <c r="C430" s="238"/>
      <c r="D430" s="238"/>
      <c r="E430" s="238"/>
      <c r="F430" s="238"/>
      <c r="G430" s="238"/>
      <c r="H430" s="238"/>
    </row>
    <row r="431" spans="1:8" x14ac:dyDescent="0.2">
      <c r="A431" s="238"/>
      <c r="B431" s="238"/>
      <c r="C431" s="238"/>
      <c r="D431" s="238"/>
      <c r="E431" s="238"/>
      <c r="F431" s="238"/>
      <c r="G431" s="238"/>
      <c r="H431" s="238"/>
    </row>
    <row r="432" spans="1:8" x14ac:dyDescent="0.2">
      <c r="A432" s="238"/>
      <c r="B432" s="238"/>
      <c r="C432" s="238"/>
      <c r="D432" s="238"/>
      <c r="E432" s="238"/>
      <c r="F432" s="238"/>
      <c r="G432" s="238"/>
      <c r="H432" s="238"/>
    </row>
    <row r="433" spans="1:8" x14ac:dyDescent="0.2">
      <c r="A433" s="238"/>
      <c r="B433" s="238"/>
      <c r="C433" s="238"/>
      <c r="D433" s="238"/>
      <c r="E433" s="238"/>
      <c r="F433" s="238"/>
      <c r="G433" s="238"/>
      <c r="H433" s="238"/>
    </row>
    <row r="434" spans="1:8" x14ac:dyDescent="0.2">
      <c r="A434" s="238"/>
      <c r="B434" s="238"/>
      <c r="C434" s="238"/>
      <c r="D434" s="238"/>
      <c r="E434" s="238"/>
      <c r="F434" s="238"/>
      <c r="G434" s="238"/>
      <c r="H434" s="238"/>
    </row>
    <row r="435" spans="1:8" x14ac:dyDescent="0.2">
      <c r="A435" s="238"/>
      <c r="B435" s="238"/>
      <c r="C435" s="238"/>
      <c r="D435" s="238"/>
      <c r="E435" s="238"/>
      <c r="F435" s="238"/>
      <c r="G435" s="238"/>
      <c r="H435" s="238"/>
    </row>
    <row r="436" spans="1:8" x14ac:dyDescent="0.2">
      <c r="A436" s="238"/>
      <c r="B436" s="238"/>
      <c r="C436" s="238"/>
      <c r="D436" s="238"/>
      <c r="E436" s="238"/>
      <c r="F436" s="238"/>
      <c r="G436" s="238"/>
      <c r="H436" s="238"/>
    </row>
    <row r="437" spans="1:8" x14ac:dyDescent="0.2">
      <c r="A437" s="238"/>
      <c r="B437" s="238"/>
      <c r="C437" s="238"/>
      <c r="D437" s="238"/>
      <c r="E437" s="238"/>
      <c r="F437" s="238"/>
      <c r="G437" s="238"/>
      <c r="H437" s="238"/>
    </row>
    <row r="438" spans="1:8" x14ac:dyDescent="0.2">
      <c r="A438" s="238"/>
      <c r="B438" s="238"/>
      <c r="C438" s="238"/>
      <c r="D438" s="238"/>
      <c r="E438" s="238"/>
      <c r="F438" s="238"/>
      <c r="G438" s="238"/>
      <c r="H438" s="238"/>
    </row>
    <row r="439" spans="1:8" x14ac:dyDescent="0.2">
      <c r="A439" s="238"/>
      <c r="B439" s="238"/>
      <c r="C439" s="238"/>
      <c r="D439" s="238"/>
      <c r="E439" s="238"/>
      <c r="F439" s="238"/>
      <c r="G439" s="238"/>
      <c r="H439" s="238"/>
    </row>
    <row r="440" spans="1:8" x14ac:dyDescent="0.2">
      <c r="A440" s="238"/>
      <c r="B440" s="238"/>
      <c r="C440" s="238"/>
      <c r="D440" s="238"/>
      <c r="E440" s="238"/>
      <c r="F440" s="238"/>
      <c r="G440" s="238"/>
      <c r="H440" s="238"/>
    </row>
    <row r="441" spans="1:8" x14ac:dyDescent="0.2">
      <c r="A441" s="238"/>
      <c r="B441" s="238"/>
      <c r="C441" s="238"/>
      <c r="D441" s="238"/>
      <c r="E441" s="238"/>
      <c r="F441" s="238"/>
      <c r="G441" s="238"/>
      <c r="H441" s="238"/>
    </row>
    <row r="442" spans="1:8" x14ac:dyDescent="0.2">
      <c r="A442" s="238"/>
      <c r="B442" s="238"/>
      <c r="C442" s="238"/>
      <c r="D442" s="238"/>
      <c r="E442" s="238"/>
      <c r="F442" s="238"/>
      <c r="G442" s="238"/>
      <c r="H442" s="238"/>
    </row>
    <row r="443" spans="1:8" x14ac:dyDescent="0.2">
      <c r="A443" s="238"/>
      <c r="B443" s="238"/>
      <c r="C443" s="238"/>
      <c r="D443" s="238"/>
      <c r="E443" s="238"/>
      <c r="F443" s="238"/>
      <c r="G443" s="238"/>
      <c r="H443" s="238"/>
    </row>
    <row r="444" spans="1:8" x14ac:dyDescent="0.2">
      <c r="A444" s="238"/>
      <c r="B444" s="238"/>
      <c r="C444" s="238"/>
      <c r="D444" s="238"/>
      <c r="E444" s="238"/>
      <c r="F444" s="238"/>
      <c r="G444" s="238"/>
      <c r="H444" s="238"/>
    </row>
    <row r="445" spans="1:8" x14ac:dyDescent="0.2">
      <c r="A445" s="238"/>
      <c r="B445" s="238"/>
      <c r="C445" s="238"/>
      <c r="D445" s="238"/>
      <c r="E445" s="238"/>
      <c r="F445" s="238"/>
      <c r="G445" s="238"/>
      <c r="H445" s="238"/>
    </row>
    <row r="446" spans="1:8" x14ac:dyDescent="0.2">
      <c r="A446" s="238"/>
      <c r="B446" s="238"/>
      <c r="C446" s="238"/>
      <c r="D446" s="238"/>
      <c r="E446" s="238"/>
      <c r="F446" s="238"/>
      <c r="G446" s="238"/>
      <c r="H446" s="238"/>
    </row>
    <row r="447" spans="1:8" x14ac:dyDescent="0.2">
      <c r="A447" s="238"/>
      <c r="B447" s="238"/>
      <c r="C447" s="238"/>
      <c r="D447" s="238"/>
      <c r="E447" s="238"/>
      <c r="F447" s="238"/>
      <c r="G447" s="238"/>
      <c r="H447" s="238"/>
    </row>
    <row r="448" spans="1:8" x14ac:dyDescent="0.2">
      <c r="A448" s="238"/>
      <c r="B448" s="238"/>
      <c r="C448" s="238"/>
      <c r="D448" s="238"/>
      <c r="E448" s="238"/>
      <c r="F448" s="238"/>
      <c r="G448" s="238"/>
      <c r="H448" s="238"/>
    </row>
    <row r="449" spans="1:8" x14ac:dyDescent="0.2">
      <c r="A449" s="238"/>
      <c r="B449" s="238"/>
      <c r="C449" s="238"/>
      <c r="D449" s="238"/>
      <c r="E449" s="238"/>
      <c r="F449" s="238"/>
      <c r="G449" s="238"/>
      <c r="H449" s="238"/>
    </row>
    <row r="450" spans="1:8" x14ac:dyDescent="0.2">
      <c r="A450" s="238"/>
      <c r="B450" s="238"/>
      <c r="C450" s="238"/>
      <c r="D450" s="238"/>
      <c r="E450" s="238"/>
      <c r="F450" s="238"/>
      <c r="G450" s="238"/>
      <c r="H450" s="238"/>
    </row>
    <row r="451" spans="1:8" x14ac:dyDescent="0.2">
      <c r="A451" s="238"/>
      <c r="B451" s="238"/>
      <c r="C451" s="238"/>
      <c r="D451" s="238"/>
      <c r="E451" s="238"/>
      <c r="F451" s="238"/>
      <c r="G451" s="238"/>
      <c r="H451" s="238"/>
    </row>
    <row r="452" spans="1:8" x14ac:dyDescent="0.2">
      <c r="A452" s="238"/>
      <c r="B452" s="238"/>
      <c r="C452" s="238"/>
      <c r="D452" s="238"/>
      <c r="E452" s="238"/>
      <c r="F452" s="238"/>
      <c r="G452" s="238"/>
      <c r="H452" s="238"/>
    </row>
    <row r="453" spans="1:8" x14ac:dyDescent="0.2">
      <c r="A453" s="238"/>
      <c r="B453" s="238"/>
      <c r="C453" s="238"/>
      <c r="D453" s="238"/>
      <c r="E453" s="238"/>
      <c r="F453" s="238"/>
      <c r="G453" s="238"/>
      <c r="H453" s="238"/>
    </row>
    <row r="454" spans="1:8" x14ac:dyDescent="0.2">
      <c r="A454" s="238"/>
      <c r="B454" s="238"/>
      <c r="C454" s="238"/>
      <c r="D454" s="238"/>
      <c r="E454" s="238"/>
      <c r="F454" s="238"/>
      <c r="G454" s="238"/>
      <c r="H454" s="238"/>
    </row>
    <row r="455" spans="1:8" x14ac:dyDescent="0.2">
      <c r="A455" s="238"/>
      <c r="B455" s="238"/>
      <c r="C455" s="238"/>
      <c r="D455" s="238"/>
      <c r="E455" s="238"/>
      <c r="F455" s="238"/>
      <c r="G455" s="238"/>
      <c r="H455" s="238"/>
    </row>
    <row r="456" spans="1:8" x14ac:dyDescent="0.2">
      <c r="A456" s="238"/>
      <c r="B456" s="238"/>
      <c r="C456" s="238"/>
      <c r="D456" s="238"/>
      <c r="E456" s="238"/>
      <c r="F456" s="238"/>
      <c r="G456" s="238"/>
      <c r="H456" s="238"/>
    </row>
    <row r="457" spans="1:8" x14ac:dyDescent="0.2">
      <c r="A457" s="238"/>
      <c r="B457" s="238"/>
      <c r="C457" s="238"/>
      <c r="D457" s="238"/>
      <c r="E457" s="238"/>
      <c r="F457" s="238"/>
      <c r="G457" s="238"/>
      <c r="H457" s="238"/>
    </row>
    <row r="458" spans="1:8" x14ac:dyDescent="0.2">
      <c r="A458" s="238"/>
      <c r="B458" s="238"/>
      <c r="C458" s="238"/>
      <c r="D458" s="238"/>
      <c r="E458" s="238"/>
      <c r="F458" s="238"/>
      <c r="G458" s="238"/>
      <c r="H458" s="238"/>
    </row>
    <row r="459" spans="1:8" x14ac:dyDescent="0.2">
      <c r="A459" s="238"/>
      <c r="B459" s="238"/>
      <c r="C459" s="238"/>
      <c r="D459" s="238"/>
      <c r="E459" s="238"/>
      <c r="F459" s="238"/>
      <c r="G459" s="238"/>
      <c r="H459" s="238"/>
    </row>
    <row r="460" spans="1:8" x14ac:dyDescent="0.2">
      <c r="A460" s="238"/>
      <c r="B460" s="238"/>
      <c r="C460" s="238"/>
      <c r="D460" s="238"/>
      <c r="E460" s="238"/>
      <c r="F460" s="238"/>
      <c r="G460" s="238"/>
      <c r="H460" s="238"/>
    </row>
    <row r="461" spans="1:8" x14ac:dyDescent="0.2">
      <c r="A461" s="238"/>
      <c r="B461" s="238"/>
      <c r="C461" s="238"/>
      <c r="D461" s="238"/>
      <c r="E461" s="238"/>
      <c r="F461" s="238"/>
      <c r="G461" s="238"/>
      <c r="H461" s="238"/>
    </row>
    <row r="462" spans="1:8" x14ac:dyDescent="0.2">
      <c r="A462" s="238"/>
      <c r="B462" s="238"/>
      <c r="C462" s="238"/>
      <c r="D462" s="238"/>
      <c r="E462" s="238"/>
      <c r="F462" s="238"/>
      <c r="G462" s="238"/>
      <c r="H462" s="238"/>
    </row>
    <row r="463" spans="1:8" x14ac:dyDescent="0.2">
      <c r="A463" s="238"/>
      <c r="B463" s="238"/>
      <c r="C463" s="238"/>
      <c r="D463" s="238"/>
      <c r="E463" s="238"/>
      <c r="F463" s="238"/>
      <c r="G463" s="238"/>
      <c r="H463" s="238"/>
    </row>
    <row r="464" spans="1:8" x14ac:dyDescent="0.2">
      <c r="A464" s="238"/>
      <c r="B464" s="238"/>
      <c r="C464" s="238"/>
      <c r="D464" s="238"/>
      <c r="E464" s="238"/>
      <c r="F464" s="238"/>
      <c r="G464" s="238"/>
      <c r="H464" s="238"/>
    </row>
    <row r="465" spans="1:8" x14ac:dyDescent="0.2">
      <c r="A465" s="238"/>
      <c r="B465" s="238"/>
      <c r="C465" s="238"/>
      <c r="D465" s="238"/>
      <c r="E465" s="238"/>
      <c r="F465" s="238"/>
      <c r="G465" s="238"/>
      <c r="H465" s="238"/>
    </row>
    <row r="466" spans="1:8" x14ac:dyDescent="0.2">
      <c r="A466" s="238"/>
      <c r="B466" s="238"/>
      <c r="C466" s="238"/>
      <c r="D466" s="238"/>
      <c r="E466" s="238"/>
      <c r="F466" s="238"/>
      <c r="G466" s="238"/>
      <c r="H466" s="238"/>
    </row>
    <row r="467" spans="1:8" x14ac:dyDescent="0.2">
      <c r="A467" s="238"/>
      <c r="B467" s="238"/>
      <c r="C467" s="238"/>
      <c r="D467" s="238"/>
      <c r="E467" s="238"/>
      <c r="F467" s="238"/>
      <c r="G467" s="238"/>
      <c r="H467" s="238"/>
    </row>
    <row r="468" spans="1:8" x14ac:dyDescent="0.2">
      <c r="A468" s="238"/>
      <c r="B468" s="238"/>
      <c r="C468" s="238"/>
      <c r="D468" s="238"/>
      <c r="E468" s="238"/>
      <c r="F468" s="238"/>
      <c r="G468" s="238"/>
      <c r="H468" s="238"/>
    </row>
    <row r="469" spans="1:8" x14ac:dyDescent="0.2">
      <c r="A469" s="238"/>
      <c r="B469" s="238"/>
      <c r="C469" s="238"/>
      <c r="D469" s="238"/>
      <c r="E469" s="238"/>
      <c r="F469" s="238"/>
      <c r="G469" s="238"/>
      <c r="H469" s="238"/>
    </row>
    <row r="470" spans="1:8" x14ac:dyDescent="0.2">
      <c r="A470" s="238"/>
      <c r="B470" s="238"/>
      <c r="C470" s="238"/>
      <c r="D470" s="238"/>
      <c r="E470" s="238"/>
      <c r="F470" s="238"/>
      <c r="G470" s="238"/>
      <c r="H470" s="238"/>
    </row>
    <row r="471" spans="1:8" x14ac:dyDescent="0.2">
      <c r="A471" s="238"/>
      <c r="B471" s="238"/>
      <c r="C471" s="238"/>
      <c r="D471" s="238"/>
      <c r="E471" s="238"/>
      <c r="F471" s="238"/>
      <c r="G471" s="238"/>
      <c r="H471" s="238"/>
    </row>
    <row r="472" spans="1:8" x14ac:dyDescent="0.2">
      <c r="A472" s="238"/>
      <c r="B472" s="238"/>
      <c r="C472" s="238"/>
      <c r="D472" s="238"/>
      <c r="E472" s="238"/>
      <c r="F472" s="238"/>
      <c r="G472" s="238"/>
      <c r="H472" s="238"/>
    </row>
    <row r="473" spans="1:8" x14ac:dyDescent="0.2">
      <c r="A473" s="238"/>
      <c r="B473" s="238"/>
      <c r="C473" s="238"/>
      <c r="D473" s="238"/>
      <c r="E473" s="238"/>
      <c r="F473" s="238"/>
      <c r="G473" s="238"/>
      <c r="H473" s="238"/>
    </row>
    <row r="474" spans="1:8" x14ac:dyDescent="0.2">
      <c r="A474" s="238"/>
      <c r="B474" s="238"/>
      <c r="C474" s="238"/>
      <c r="D474" s="238"/>
      <c r="E474" s="238"/>
      <c r="F474" s="238"/>
      <c r="G474" s="238"/>
      <c r="H474" s="238"/>
    </row>
    <row r="475" spans="1:8" x14ac:dyDescent="0.2">
      <c r="A475" s="238"/>
      <c r="B475" s="238"/>
      <c r="C475" s="238"/>
      <c r="D475" s="238"/>
      <c r="E475" s="238"/>
      <c r="F475" s="238"/>
      <c r="G475" s="238"/>
      <c r="H475" s="238"/>
    </row>
    <row r="476" spans="1:8" x14ac:dyDescent="0.2">
      <c r="A476" s="238"/>
      <c r="B476" s="238"/>
      <c r="C476" s="238"/>
      <c r="D476" s="238"/>
      <c r="E476" s="238"/>
      <c r="F476" s="238"/>
      <c r="G476" s="238"/>
      <c r="H476" s="238"/>
    </row>
    <row r="477" spans="1:8" x14ac:dyDescent="0.2">
      <c r="A477" s="238"/>
      <c r="B477" s="238"/>
      <c r="C477" s="238"/>
      <c r="D477" s="238"/>
      <c r="E477" s="238"/>
      <c r="F477" s="238"/>
      <c r="G477" s="238"/>
      <c r="H477" s="238"/>
    </row>
    <row r="478" spans="1:8" x14ac:dyDescent="0.2">
      <c r="A478" s="238"/>
      <c r="B478" s="238"/>
      <c r="C478" s="238"/>
      <c r="D478" s="238"/>
      <c r="E478" s="238"/>
      <c r="F478" s="238"/>
      <c r="G478" s="238"/>
      <c r="H478" s="238"/>
    </row>
    <row r="479" spans="1:8" x14ac:dyDescent="0.2">
      <c r="A479" s="238"/>
      <c r="B479" s="238"/>
      <c r="C479" s="238"/>
      <c r="D479" s="238"/>
      <c r="E479" s="238"/>
      <c r="F479" s="238"/>
      <c r="G479" s="238"/>
      <c r="H479" s="238"/>
    </row>
    <row r="480" spans="1:8" x14ac:dyDescent="0.2">
      <c r="A480" s="238"/>
      <c r="B480" s="238"/>
      <c r="C480" s="238"/>
      <c r="D480" s="238"/>
      <c r="E480" s="238"/>
      <c r="F480" s="238"/>
      <c r="G480" s="238"/>
      <c r="H480" s="238"/>
    </row>
    <row r="481" spans="1:8" x14ac:dyDescent="0.2">
      <c r="A481" s="238"/>
      <c r="B481" s="238"/>
      <c r="C481" s="238"/>
      <c r="D481" s="238"/>
      <c r="E481" s="238"/>
      <c r="F481" s="238"/>
      <c r="G481" s="238"/>
      <c r="H481" s="238"/>
    </row>
    <row r="482" spans="1:8" x14ac:dyDescent="0.2">
      <c r="A482" s="238"/>
      <c r="B482" s="238"/>
      <c r="C482" s="238"/>
      <c r="D482" s="238"/>
      <c r="E482" s="238"/>
      <c r="F482" s="238"/>
      <c r="G482" s="238"/>
      <c r="H482" s="238"/>
    </row>
    <row r="483" spans="1:8" x14ac:dyDescent="0.2">
      <c r="A483" s="238"/>
      <c r="B483" s="238"/>
      <c r="C483" s="238"/>
      <c r="D483" s="238"/>
      <c r="E483" s="238"/>
      <c r="F483" s="238"/>
      <c r="G483" s="238"/>
      <c r="H483" s="238"/>
    </row>
    <row r="484" spans="1:8" x14ac:dyDescent="0.2">
      <c r="A484" s="238"/>
      <c r="B484" s="238"/>
      <c r="C484" s="238"/>
      <c r="D484" s="238"/>
      <c r="E484" s="238"/>
      <c r="F484" s="238"/>
      <c r="G484" s="238"/>
      <c r="H484" s="238"/>
    </row>
    <row r="485" spans="1:8" x14ac:dyDescent="0.2">
      <c r="A485" s="238"/>
      <c r="B485" s="238"/>
      <c r="C485" s="238"/>
      <c r="D485" s="238"/>
      <c r="E485" s="238"/>
      <c r="F485" s="238"/>
      <c r="G485" s="238"/>
      <c r="H485" s="238"/>
    </row>
    <row r="486" spans="1:8" x14ac:dyDescent="0.2">
      <c r="A486" s="238"/>
      <c r="B486" s="238"/>
      <c r="C486" s="238"/>
      <c r="D486" s="238"/>
      <c r="E486" s="238"/>
      <c r="F486" s="238"/>
      <c r="G486" s="238"/>
      <c r="H486" s="238"/>
    </row>
    <row r="487" spans="1:8" x14ac:dyDescent="0.2">
      <c r="A487" s="238"/>
      <c r="B487" s="238"/>
      <c r="C487" s="238"/>
      <c r="D487" s="238"/>
      <c r="E487" s="238"/>
      <c r="F487" s="238"/>
      <c r="G487" s="238"/>
      <c r="H487" s="238"/>
    </row>
    <row r="488" spans="1:8" x14ac:dyDescent="0.2">
      <c r="A488" s="238"/>
      <c r="B488" s="238"/>
      <c r="C488" s="238"/>
      <c r="D488" s="238"/>
      <c r="E488" s="238"/>
      <c r="F488" s="238"/>
      <c r="G488" s="238"/>
      <c r="H488" s="238"/>
    </row>
    <row r="489" spans="1:8" x14ac:dyDescent="0.2">
      <c r="A489" s="238"/>
      <c r="B489" s="238"/>
      <c r="C489" s="238"/>
      <c r="D489" s="238"/>
      <c r="E489" s="238"/>
      <c r="F489" s="238"/>
      <c r="G489" s="238"/>
      <c r="H489" s="238"/>
    </row>
    <row r="490" spans="1:8" x14ac:dyDescent="0.2">
      <c r="A490" s="238"/>
      <c r="B490" s="238"/>
      <c r="C490" s="238"/>
      <c r="D490" s="238"/>
      <c r="E490" s="238"/>
      <c r="F490" s="238"/>
      <c r="G490" s="238"/>
      <c r="H490" s="238"/>
    </row>
    <row r="491" spans="1:8" x14ac:dyDescent="0.2">
      <c r="A491" s="238"/>
      <c r="B491" s="238"/>
      <c r="C491" s="238"/>
      <c r="D491" s="238"/>
      <c r="E491" s="238"/>
      <c r="F491" s="238"/>
      <c r="G491" s="238"/>
      <c r="H491" s="238"/>
    </row>
    <row r="492" spans="1:8" x14ac:dyDescent="0.2">
      <c r="A492" s="238"/>
      <c r="B492" s="238"/>
      <c r="C492" s="238"/>
      <c r="D492" s="238"/>
      <c r="E492" s="238"/>
      <c r="F492" s="238"/>
      <c r="G492" s="238"/>
      <c r="H492" s="238"/>
    </row>
    <row r="493" spans="1:8" x14ac:dyDescent="0.2">
      <c r="A493" s="238"/>
      <c r="B493" s="238"/>
      <c r="C493" s="238"/>
      <c r="D493" s="238"/>
      <c r="E493" s="238"/>
      <c r="F493" s="238"/>
      <c r="G493" s="238"/>
      <c r="H493" s="238"/>
    </row>
    <row r="494" spans="1:8" x14ac:dyDescent="0.2">
      <c r="A494" s="238"/>
      <c r="B494" s="238"/>
      <c r="C494" s="238"/>
      <c r="D494" s="238"/>
      <c r="E494" s="238"/>
      <c r="F494" s="238"/>
      <c r="G494" s="238"/>
      <c r="H494" s="238"/>
    </row>
    <row r="495" spans="1:8" x14ac:dyDescent="0.2">
      <c r="A495" s="238"/>
      <c r="B495" s="238"/>
      <c r="C495" s="238"/>
      <c r="D495" s="238"/>
      <c r="E495" s="238"/>
      <c r="F495" s="238"/>
      <c r="G495" s="238"/>
      <c r="H495" s="238"/>
    </row>
    <row r="496" spans="1:8" x14ac:dyDescent="0.2">
      <c r="A496" s="238"/>
      <c r="B496" s="238"/>
      <c r="C496" s="238"/>
      <c r="D496" s="238"/>
      <c r="E496" s="238"/>
      <c r="F496" s="238"/>
      <c r="G496" s="238"/>
      <c r="H496" s="238"/>
    </row>
    <row r="497" spans="1:8" x14ac:dyDescent="0.2">
      <c r="A497" s="238"/>
      <c r="B497" s="238"/>
      <c r="C497" s="238"/>
      <c r="D497" s="238"/>
      <c r="E497" s="238"/>
      <c r="F497" s="238"/>
      <c r="G497" s="238"/>
      <c r="H497" s="238"/>
    </row>
    <row r="498" spans="1:8" x14ac:dyDescent="0.2">
      <c r="A498" s="238"/>
      <c r="B498" s="238"/>
      <c r="C498" s="238"/>
      <c r="D498" s="238"/>
      <c r="E498" s="238"/>
      <c r="F498" s="238"/>
      <c r="G498" s="238"/>
      <c r="H498" s="238"/>
    </row>
    <row r="499" spans="1:8" x14ac:dyDescent="0.2">
      <c r="A499" s="238"/>
      <c r="B499" s="238"/>
      <c r="C499" s="238"/>
      <c r="D499" s="238"/>
      <c r="E499" s="238"/>
      <c r="F499" s="238"/>
      <c r="G499" s="238"/>
      <c r="H499" s="238"/>
    </row>
    <row r="500" spans="1:8" x14ac:dyDescent="0.2">
      <c r="A500" s="238"/>
      <c r="B500" s="238"/>
      <c r="C500" s="238"/>
      <c r="D500" s="238"/>
      <c r="E500" s="238"/>
      <c r="F500" s="238"/>
      <c r="G500" s="238"/>
      <c r="H500" s="238"/>
    </row>
    <row r="501" spans="1:8" x14ac:dyDescent="0.2">
      <c r="A501" s="238"/>
      <c r="B501" s="238"/>
      <c r="C501" s="238"/>
      <c r="D501" s="238"/>
      <c r="E501" s="238"/>
      <c r="F501" s="238"/>
      <c r="G501" s="238"/>
      <c r="H501" s="238"/>
    </row>
    <row r="502" spans="1:8" x14ac:dyDescent="0.2">
      <c r="A502" s="238"/>
      <c r="B502" s="238"/>
      <c r="C502" s="238"/>
      <c r="D502" s="238"/>
      <c r="E502" s="238"/>
      <c r="F502" s="238"/>
      <c r="G502" s="238"/>
      <c r="H502" s="238"/>
    </row>
    <row r="503" spans="1:8" x14ac:dyDescent="0.2">
      <c r="A503" s="238"/>
      <c r="B503" s="238"/>
      <c r="C503" s="238"/>
      <c r="D503" s="238"/>
      <c r="E503" s="238"/>
      <c r="F503" s="238"/>
      <c r="G503" s="238"/>
      <c r="H503" s="238"/>
    </row>
  </sheetData>
  <sheetProtection algorithmName="SHA-512" hashValue="2RoOS/qvip+UPKJqP2L1rPcc6/6X+wIqkN7/B5xYHhqADXLARTtEKiZOisoDNmcF6dRKbZztVaH6NmglzTBRcg==" saltValue="qP8Ij+xPs1f4AYVDba7qug==" spinCount="100000" sheet="1" objects="1" scenarios="1" formatColumns="0" formatRows="0"/>
  <pageMargins left="0.7" right="0.7" top="0.75" bottom="0.75" header="0.3" footer="0.3"/>
  <pageSetup paperSize="9" scale="2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P71"/>
  <sheetViews>
    <sheetView zoomScale="110" zoomScaleNormal="110" workbookViewId="0">
      <selection activeCell="E64" sqref="E64"/>
    </sheetView>
  </sheetViews>
  <sheetFormatPr defaultColWidth="9.140625" defaultRowHeight="12.75" x14ac:dyDescent="0.2"/>
  <cols>
    <col min="1" max="1" width="4.140625" style="359" customWidth="1"/>
    <col min="2" max="2" width="55.85546875" style="359" customWidth="1"/>
    <col min="3" max="3" width="24.42578125" style="359" customWidth="1"/>
    <col min="4" max="4" width="3.140625" style="3" customWidth="1"/>
    <col min="5" max="5" width="22" style="4" customWidth="1"/>
    <col min="6" max="6" width="3.28515625" style="4" customWidth="1"/>
    <col min="7" max="7" width="22" style="5" customWidth="1"/>
    <col min="8" max="8" width="3.42578125" style="5" customWidth="1"/>
    <col min="9" max="9" width="25.140625" style="5" customWidth="1"/>
    <col min="10" max="10" width="2.28515625" style="5" customWidth="1"/>
    <col min="11" max="11" width="22" style="4" customWidth="1"/>
    <col min="12" max="16384" width="9.140625" style="6"/>
  </cols>
  <sheetData>
    <row r="1" spans="1:16" ht="18" x14ac:dyDescent="0.25">
      <c r="A1" s="425" t="s">
        <v>335</v>
      </c>
      <c r="B1" s="425"/>
      <c r="C1" s="425"/>
      <c r="D1" s="379"/>
    </row>
    <row r="2" spans="1:16" x14ac:dyDescent="0.2">
      <c r="A2" s="359" t="s">
        <v>322</v>
      </c>
    </row>
    <row r="3" spans="1:16" x14ac:dyDescent="0.2">
      <c r="C3" s="360"/>
      <c r="D3" s="7"/>
      <c r="F3" s="5"/>
    </row>
    <row r="4" spans="1:16" ht="25.5" x14ac:dyDescent="0.2">
      <c r="A4" s="380"/>
      <c r="B4" s="384" t="s">
        <v>103</v>
      </c>
      <c r="C4" s="385" t="s">
        <v>104</v>
      </c>
      <c r="D4" s="386"/>
      <c r="F4" s="8"/>
      <c r="G4" s="8"/>
      <c r="H4" s="8"/>
      <c r="I4" s="8"/>
      <c r="J4" s="9"/>
      <c r="K4" s="10"/>
    </row>
    <row r="5" spans="1:16" x14ac:dyDescent="0.2">
      <c r="B5" s="359" t="s">
        <v>105</v>
      </c>
      <c r="C5" s="361">
        <v>1.7657533333333335</v>
      </c>
      <c r="D5" s="386"/>
      <c r="F5" s="5"/>
      <c r="K5" s="11"/>
    </row>
    <row r="6" spans="1:16" x14ac:dyDescent="0.2">
      <c r="A6" s="381"/>
      <c r="B6" s="387" t="s">
        <v>106</v>
      </c>
      <c r="C6" s="382">
        <f>C7*C5</f>
        <v>2648.63</v>
      </c>
      <c r="D6" s="386"/>
      <c r="F6" s="12"/>
      <c r="G6" s="13"/>
      <c r="H6" s="14"/>
      <c r="I6" s="13"/>
      <c r="J6" s="14"/>
      <c r="K6" s="13"/>
    </row>
    <row r="7" spans="1:16" x14ac:dyDescent="0.2">
      <c r="A7" s="383"/>
      <c r="B7" s="383" t="s">
        <v>107</v>
      </c>
      <c r="C7" s="389">
        <v>1500</v>
      </c>
      <c r="D7" s="386"/>
      <c r="F7" s="5"/>
      <c r="G7" s="15"/>
      <c r="I7" s="15"/>
      <c r="K7" s="5"/>
    </row>
    <row r="8" spans="1:16" x14ac:dyDescent="0.2">
      <c r="A8" s="378"/>
      <c r="B8" s="378"/>
      <c r="C8" s="378"/>
      <c r="D8" s="386"/>
      <c r="L8" s="16"/>
      <c r="M8" s="16"/>
      <c r="N8" s="16"/>
      <c r="O8" s="16"/>
      <c r="P8" s="16"/>
    </row>
    <row r="9" spans="1:16" x14ac:dyDescent="0.2">
      <c r="A9" s="383"/>
      <c r="B9" s="383" t="s">
        <v>108</v>
      </c>
      <c r="C9" s="383"/>
      <c r="D9" s="386"/>
    </row>
    <row r="10" spans="1:16" x14ac:dyDescent="0.2">
      <c r="A10" s="359" t="s">
        <v>109</v>
      </c>
      <c r="B10" s="359" t="s">
        <v>110</v>
      </c>
      <c r="C10" s="364">
        <f>C6*12</f>
        <v>31783.56</v>
      </c>
      <c r="D10" s="386"/>
      <c r="F10" s="17"/>
      <c r="G10" s="18"/>
      <c r="H10" s="18"/>
      <c r="I10" s="18"/>
      <c r="J10" s="18"/>
      <c r="K10" s="17"/>
    </row>
    <row r="11" spans="1:16" x14ac:dyDescent="0.2">
      <c r="A11" s="390" t="s">
        <v>111</v>
      </c>
      <c r="B11" s="391" t="s">
        <v>112</v>
      </c>
      <c r="C11" s="392">
        <f>C63*C59</f>
        <v>792.78</v>
      </c>
      <c r="D11" s="386"/>
      <c r="F11" s="17"/>
      <c r="G11" s="18"/>
      <c r="H11" s="18"/>
      <c r="I11" s="18"/>
      <c r="J11" s="18"/>
      <c r="K11" s="18"/>
    </row>
    <row r="12" spans="1:16" x14ac:dyDescent="0.2">
      <c r="A12" s="393" t="s">
        <v>113</v>
      </c>
      <c r="B12" s="394" t="s">
        <v>114</v>
      </c>
      <c r="C12" s="395">
        <f>C64*C59</f>
        <v>394.2</v>
      </c>
      <c r="D12" s="386"/>
      <c r="F12" s="17"/>
      <c r="G12" s="18"/>
      <c r="H12" s="18"/>
      <c r="I12" s="18"/>
      <c r="J12" s="18"/>
      <c r="K12" s="18"/>
    </row>
    <row r="13" spans="1:16" x14ac:dyDescent="0.2">
      <c r="A13" s="393" t="s">
        <v>115</v>
      </c>
      <c r="B13" s="394" t="s">
        <v>116</v>
      </c>
      <c r="C13" s="398">
        <f>C65</f>
        <v>842.79</v>
      </c>
      <c r="D13" s="386"/>
      <c r="F13" s="17"/>
      <c r="G13" s="18"/>
      <c r="H13" s="18"/>
      <c r="I13" s="18"/>
      <c r="J13" s="18"/>
      <c r="K13" s="18"/>
    </row>
    <row r="14" spans="1:16" x14ac:dyDescent="0.2">
      <c r="A14" s="393" t="s">
        <v>117</v>
      </c>
      <c r="B14" s="394" t="s">
        <v>118</v>
      </c>
      <c r="C14" s="395">
        <f>C62*1500</f>
        <v>555</v>
      </c>
      <c r="D14" s="386"/>
      <c r="F14" s="17"/>
      <c r="G14" s="18"/>
      <c r="H14" s="18"/>
      <c r="I14" s="18"/>
      <c r="J14" s="18"/>
      <c r="K14" s="18"/>
    </row>
    <row r="15" spans="1:16" x14ac:dyDescent="0.2">
      <c r="A15" s="393" t="s">
        <v>119</v>
      </c>
      <c r="B15" s="394" t="s">
        <v>120</v>
      </c>
      <c r="C15" s="395">
        <f>C70*3</f>
        <v>32.04</v>
      </c>
      <c r="D15" s="386"/>
      <c r="F15" s="17"/>
      <c r="G15" s="18"/>
      <c r="H15" s="18"/>
      <c r="I15" s="18"/>
      <c r="J15" s="18"/>
      <c r="K15" s="18"/>
    </row>
    <row r="16" spans="1:16" x14ac:dyDescent="0.2">
      <c r="A16" s="393"/>
      <c r="B16" s="394"/>
      <c r="C16" s="396"/>
      <c r="D16" s="386"/>
      <c r="F16" s="17"/>
      <c r="G16" s="18"/>
      <c r="H16" s="18"/>
      <c r="I16" s="18"/>
      <c r="J16" s="18"/>
      <c r="K16" s="17"/>
    </row>
    <row r="17" spans="1:11" x14ac:dyDescent="0.2">
      <c r="A17" s="393" t="s">
        <v>121</v>
      </c>
      <c r="B17" s="394" t="s">
        <v>122</v>
      </c>
      <c r="C17" s="398">
        <v>400</v>
      </c>
      <c r="D17" s="386"/>
      <c r="F17" s="17"/>
      <c r="G17" s="18"/>
      <c r="H17" s="18"/>
      <c r="I17" s="18"/>
      <c r="J17" s="18"/>
      <c r="K17" s="17"/>
    </row>
    <row r="18" spans="1:11" x14ac:dyDescent="0.2">
      <c r="A18" s="393" t="s">
        <v>123</v>
      </c>
      <c r="B18" s="394" t="s">
        <v>124</v>
      </c>
      <c r="C18" s="398">
        <v>60</v>
      </c>
      <c r="D18" s="386"/>
      <c r="F18" s="17"/>
      <c r="G18" s="18"/>
      <c r="H18" s="18"/>
      <c r="I18" s="18"/>
      <c r="J18" s="18"/>
      <c r="K18" s="17"/>
    </row>
    <row r="19" spans="1:11" x14ac:dyDescent="0.2">
      <c r="A19" s="393" t="s">
        <v>125</v>
      </c>
      <c r="B19" s="393" t="s">
        <v>126</v>
      </c>
      <c r="C19" s="398">
        <v>335</v>
      </c>
      <c r="D19" s="386"/>
      <c r="F19" s="17"/>
      <c r="G19" s="18"/>
      <c r="H19" s="18"/>
      <c r="I19" s="18"/>
      <c r="J19" s="18"/>
      <c r="K19" s="17"/>
    </row>
    <row r="20" spans="1:11" x14ac:dyDescent="0.2">
      <c r="A20" s="393" t="s">
        <v>127</v>
      </c>
      <c r="B20" s="394" t="s">
        <v>128</v>
      </c>
      <c r="C20" s="398">
        <v>350</v>
      </c>
      <c r="D20" s="386"/>
      <c r="F20" s="17"/>
      <c r="G20" s="18"/>
      <c r="H20" s="18"/>
      <c r="I20" s="18"/>
      <c r="J20" s="18"/>
      <c r="K20" s="17"/>
    </row>
    <row r="21" spans="1:11" x14ac:dyDescent="0.2">
      <c r="A21" s="393" t="s">
        <v>129</v>
      </c>
      <c r="B21" s="394" t="s">
        <v>130</v>
      </c>
      <c r="C21" s="398">
        <v>1200</v>
      </c>
      <c r="D21" s="386"/>
      <c r="F21" s="17"/>
      <c r="G21" s="18"/>
      <c r="H21" s="18"/>
      <c r="I21" s="18"/>
      <c r="J21" s="18"/>
      <c r="K21" s="17"/>
    </row>
    <row r="22" spans="1:11" x14ac:dyDescent="0.2">
      <c r="A22" s="393" t="s">
        <v>131</v>
      </c>
      <c r="B22" s="394" t="s">
        <v>132</v>
      </c>
      <c r="C22" s="398">
        <v>120</v>
      </c>
      <c r="D22" s="386"/>
      <c r="F22" s="17"/>
      <c r="G22" s="18"/>
      <c r="H22" s="18"/>
      <c r="I22" s="18"/>
      <c r="J22" s="18"/>
      <c r="K22" s="17"/>
    </row>
    <row r="23" spans="1:11" x14ac:dyDescent="0.2">
      <c r="A23" s="393" t="s">
        <v>133</v>
      </c>
      <c r="B23" s="394" t="s">
        <v>134</v>
      </c>
      <c r="C23" s="398">
        <v>0</v>
      </c>
      <c r="D23" s="386"/>
      <c r="F23" s="17"/>
      <c r="G23" s="18"/>
      <c r="H23" s="18"/>
      <c r="I23" s="18"/>
      <c r="J23" s="18"/>
      <c r="K23" s="17"/>
    </row>
    <row r="24" spans="1:11" x14ac:dyDescent="0.2">
      <c r="A24" s="393" t="s">
        <v>135</v>
      </c>
      <c r="B24" s="394" t="s">
        <v>136</v>
      </c>
      <c r="C24" s="398">
        <f>20*12</f>
        <v>240</v>
      </c>
      <c r="D24" s="386"/>
      <c r="F24" s="17"/>
      <c r="G24" s="18"/>
      <c r="H24" s="18"/>
      <c r="I24" s="18"/>
      <c r="J24" s="18"/>
      <c r="K24" s="17"/>
    </row>
    <row r="25" spans="1:11" x14ac:dyDescent="0.2">
      <c r="A25" s="393" t="s">
        <v>137</v>
      </c>
      <c r="B25" s="394" t="s">
        <v>138</v>
      </c>
      <c r="C25" s="398">
        <f>20*12</f>
        <v>240</v>
      </c>
      <c r="D25" s="386"/>
      <c r="F25" s="17"/>
      <c r="G25" s="18"/>
      <c r="H25" s="18"/>
      <c r="I25" s="18"/>
      <c r="J25" s="18"/>
      <c r="K25" s="17"/>
    </row>
    <row r="26" spans="1:11" x14ac:dyDescent="0.2">
      <c r="A26" s="393"/>
      <c r="B26" s="393"/>
      <c r="C26" s="397"/>
      <c r="D26" s="386"/>
      <c r="F26" s="17"/>
      <c r="G26" s="18"/>
      <c r="H26" s="18"/>
      <c r="I26" s="18"/>
      <c r="J26" s="18"/>
      <c r="K26" s="17"/>
    </row>
    <row r="27" spans="1:11" x14ac:dyDescent="0.2">
      <c r="A27" s="393" t="s">
        <v>139</v>
      </c>
      <c r="B27" s="394" t="s">
        <v>140</v>
      </c>
      <c r="C27" s="398">
        <v>500</v>
      </c>
      <c r="D27" s="386"/>
      <c r="F27" s="17"/>
      <c r="G27" s="18"/>
      <c r="H27" s="18"/>
      <c r="I27" s="18"/>
      <c r="J27" s="18"/>
      <c r="K27" s="17"/>
    </row>
    <row r="28" spans="1:11" x14ac:dyDescent="0.2">
      <c r="A28" s="393" t="s">
        <v>141</v>
      </c>
      <c r="B28" s="394" t="s">
        <v>142</v>
      </c>
      <c r="C28" s="398">
        <v>1700</v>
      </c>
      <c r="D28" s="386"/>
      <c r="F28" s="17"/>
      <c r="G28" s="18"/>
      <c r="H28" s="18"/>
      <c r="I28" s="18"/>
      <c r="J28" s="18"/>
      <c r="K28" s="17"/>
    </row>
    <row r="29" spans="1:11" x14ac:dyDescent="0.2">
      <c r="A29" s="393" t="s">
        <v>143</v>
      </c>
      <c r="B29" s="394" t="s">
        <v>144</v>
      </c>
      <c r="C29" s="398">
        <v>500</v>
      </c>
      <c r="D29" s="386"/>
      <c r="F29" s="17"/>
      <c r="G29" s="18"/>
      <c r="H29" s="18"/>
      <c r="I29" s="18"/>
      <c r="J29" s="18"/>
      <c r="K29" s="17"/>
    </row>
    <row r="30" spans="1:11" x14ac:dyDescent="0.2">
      <c r="A30" s="393" t="s">
        <v>145</v>
      </c>
      <c r="B30" s="394" t="s">
        <v>146</v>
      </c>
      <c r="C30" s="398">
        <v>500</v>
      </c>
      <c r="D30" s="386"/>
      <c r="F30" s="17"/>
      <c r="G30" s="18"/>
      <c r="H30" s="18"/>
      <c r="I30" s="18"/>
      <c r="J30" s="18"/>
      <c r="K30" s="17"/>
    </row>
    <row r="31" spans="1:11" x14ac:dyDescent="0.2">
      <c r="A31" s="393" t="s">
        <v>147</v>
      </c>
      <c r="B31" s="394" t="s">
        <v>148</v>
      </c>
      <c r="C31" s="398">
        <v>250</v>
      </c>
      <c r="D31" s="386"/>
      <c r="F31" s="17"/>
      <c r="G31" s="18"/>
      <c r="H31" s="18"/>
      <c r="I31" s="18"/>
      <c r="J31" s="18"/>
      <c r="K31" s="17"/>
    </row>
    <row r="32" spans="1:11" x14ac:dyDescent="0.2">
      <c r="A32" s="362" t="s">
        <v>149</v>
      </c>
      <c r="B32" s="365" t="s">
        <v>150</v>
      </c>
      <c r="C32" s="399">
        <v>150</v>
      </c>
      <c r="D32" s="386"/>
      <c r="F32" s="17"/>
      <c r="G32" s="18"/>
      <c r="H32" s="18"/>
      <c r="I32" s="18"/>
      <c r="J32" s="18"/>
      <c r="K32" s="17"/>
    </row>
    <row r="33" spans="1:11" x14ac:dyDescent="0.2">
      <c r="B33" s="366" t="s">
        <v>151</v>
      </c>
      <c r="C33" s="364">
        <f>SUM(C10:C32)</f>
        <v>40945.370000000003</v>
      </c>
      <c r="D33" s="386"/>
      <c r="F33" s="17"/>
      <c r="G33" s="18"/>
      <c r="H33" s="18"/>
      <c r="I33" s="18"/>
      <c r="J33" s="18"/>
      <c r="K33" s="17"/>
    </row>
    <row r="34" spans="1:11" x14ac:dyDescent="0.2">
      <c r="B34" s="366"/>
      <c r="C34" s="364"/>
      <c r="D34" s="386"/>
      <c r="F34" s="17"/>
      <c r="G34" s="18"/>
      <c r="H34" s="18"/>
      <c r="I34" s="18"/>
      <c r="J34" s="18"/>
      <c r="K34" s="17"/>
    </row>
    <row r="35" spans="1:11" x14ac:dyDescent="0.2">
      <c r="B35" s="366" t="s">
        <v>152</v>
      </c>
      <c r="C35" s="367">
        <f>C33*5%</f>
        <v>2047.2685000000001</v>
      </c>
      <c r="D35" s="386"/>
      <c r="F35" s="17"/>
      <c r="G35" s="18"/>
      <c r="H35" s="18"/>
      <c r="I35" s="18"/>
      <c r="J35" s="18"/>
      <c r="K35" s="17"/>
    </row>
    <row r="36" spans="1:11" x14ac:dyDescent="0.2">
      <c r="B36" s="365" t="s">
        <v>153</v>
      </c>
      <c r="C36" s="368">
        <f>C35*25%</f>
        <v>511.81712500000003</v>
      </c>
      <c r="D36" s="386"/>
      <c r="F36" s="17"/>
      <c r="G36" s="18"/>
      <c r="H36" s="18"/>
      <c r="I36" s="18"/>
      <c r="J36" s="18"/>
      <c r="K36" s="17"/>
    </row>
    <row r="37" spans="1:11" x14ac:dyDescent="0.2">
      <c r="B37" s="366" t="s">
        <v>151</v>
      </c>
      <c r="C37" s="364">
        <f>SUM(C33:C36)</f>
        <v>43504.455625000002</v>
      </c>
      <c r="D37" s="386"/>
      <c r="F37" s="17"/>
      <c r="G37" s="18"/>
      <c r="H37" s="18"/>
      <c r="I37" s="18"/>
      <c r="J37" s="18"/>
      <c r="K37" s="17"/>
    </row>
    <row r="38" spans="1:11" x14ac:dyDescent="0.2">
      <c r="B38" s="365"/>
      <c r="C38" s="362"/>
      <c r="D38" s="386"/>
    </row>
    <row r="39" spans="1:11" x14ac:dyDescent="0.2">
      <c r="B39" s="362" t="s">
        <v>154</v>
      </c>
      <c r="C39" s="369">
        <v>1672</v>
      </c>
      <c r="D39" s="386"/>
      <c r="G39" s="19"/>
      <c r="I39" s="19"/>
      <c r="K39" s="19"/>
    </row>
    <row r="40" spans="1:11" x14ac:dyDescent="0.2">
      <c r="B40" s="370" t="s">
        <v>333</v>
      </c>
      <c r="C40" s="371">
        <f>-C39*20%</f>
        <v>-334.40000000000003</v>
      </c>
      <c r="D40" s="386"/>
      <c r="F40" s="19"/>
      <c r="G40" s="19"/>
      <c r="H40" s="19"/>
      <c r="I40" s="19"/>
      <c r="J40" s="19"/>
      <c r="K40" s="19"/>
    </row>
    <row r="41" spans="1:11" x14ac:dyDescent="0.2">
      <c r="B41" s="370" t="s">
        <v>155</v>
      </c>
      <c r="C41" s="372">
        <f>SUM(C39:C40)</f>
        <v>1337.6</v>
      </c>
      <c r="D41" s="386"/>
      <c r="G41" s="19"/>
      <c r="I41" s="19"/>
    </row>
    <row r="42" spans="1:11" x14ac:dyDescent="0.2">
      <c r="A42" s="362"/>
      <c r="B42" s="362"/>
      <c r="C42" s="362"/>
      <c r="D42" s="386"/>
    </row>
    <row r="43" spans="1:11" s="406" customFormat="1" ht="15.75" x14ac:dyDescent="0.25">
      <c r="A43" s="400"/>
      <c r="B43" s="400" t="s">
        <v>156</v>
      </c>
      <c r="C43" s="401">
        <f>C37/C41</f>
        <v>32.524264073714122</v>
      </c>
      <c r="D43" s="402"/>
      <c r="E43" s="403"/>
      <c r="F43" s="404"/>
      <c r="G43" s="405"/>
      <c r="H43" s="405"/>
      <c r="I43" s="405"/>
      <c r="J43" s="405"/>
      <c r="K43" s="404"/>
    </row>
    <row r="44" spans="1:11" x14ac:dyDescent="0.2">
      <c r="C44" s="361"/>
      <c r="D44" s="386"/>
    </row>
    <row r="45" spans="1:11" x14ac:dyDescent="0.2">
      <c r="D45" s="386"/>
    </row>
    <row r="46" spans="1:11" x14ac:dyDescent="0.2">
      <c r="D46" s="386"/>
    </row>
    <row r="47" spans="1:11" x14ac:dyDescent="0.2">
      <c r="D47" s="386"/>
    </row>
    <row r="48" spans="1:11" x14ac:dyDescent="0.2">
      <c r="B48" s="373" t="s">
        <v>157</v>
      </c>
      <c r="C48" s="373">
        <v>8</v>
      </c>
      <c r="D48" s="386"/>
    </row>
    <row r="49" spans="1:3" x14ac:dyDescent="0.2">
      <c r="B49" s="359" t="s">
        <v>158</v>
      </c>
      <c r="C49" s="359">
        <v>40</v>
      </c>
    </row>
    <row r="50" spans="1:3" x14ac:dyDescent="0.2">
      <c r="B50" s="359" t="s">
        <v>159</v>
      </c>
      <c r="C50" s="359">
        <f>ROUND(+C51/12, 0)</f>
        <v>173</v>
      </c>
    </row>
    <row r="51" spans="1:3" x14ac:dyDescent="0.2">
      <c r="B51" s="359" t="s">
        <v>160</v>
      </c>
      <c r="C51" s="361">
        <v>2080</v>
      </c>
    </row>
    <row r="52" spans="1:3" x14ac:dyDescent="0.2">
      <c r="C52" s="361"/>
    </row>
    <row r="53" spans="1:3" x14ac:dyDescent="0.2">
      <c r="A53" s="378"/>
      <c r="B53" s="388">
        <v>2019</v>
      </c>
      <c r="C53" s="378"/>
    </row>
    <row r="54" spans="1:3" x14ac:dyDescent="0.2">
      <c r="B54" s="359" t="s">
        <v>161</v>
      </c>
      <c r="C54" s="374">
        <v>261</v>
      </c>
    </row>
    <row r="55" spans="1:3" x14ac:dyDescent="0.2">
      <c r="B55" s="359" t="s">
        <v>162</v>
      </c>
      <c r="C55" s="374">
        <v>-12</v>
      </c>
    </row>
    <row r="56" spans="1:3" x14ac:dyDescent="0.2">
      <c r="B56" s="359" t="s">
        <v>163</v>
      </c>
      <c r="C56" s="375">
        <v>-25</v>
      </c>
    </row>
    <row r="57" spans="1:3" x14ac:dyDescent="0.2">
      <c r="B57" s="359" t="s">
        <v>164</v>
      </c>
      <c r="C57" s="374">
        <v>-5</v>
      </c>
    </row>
    <row r="58" spans="1:3" x14ac:dyDescent="0.2">
      <c r="B58" s="362" t="s">
        <v>165</v>
      </c>
      <c r="C58" s="369">
        <v>0</v>
      </c>
    </row>
    <row r="59" spans="1:3" x14ac:dyDescent="0.2">
      <c r="B59" s="363" t="s">
        <v>151</v>
      </c>
      <c r="C59" s="371">
        <f>SUM(C54:C58)</f>
        <v>219</v>
      </c>
    </row>
    <row r="60" spans="1:3" x14ac:dyDescent="0.2">
      <c r="B60" s="359" t="s">
        <v>166</v>
      </c>
      <c r="C60" s="407">
        <f>C59*8</f>
        <v>1752</v>
      </c>
    </row>
    <row r="62" spans="1:3" x14ac:dyDescent="0.2">
      <c r="B62" s="359" t="s">
        <v>167</v>
      </c>
      <c r="C62" s="361">
        <v>0.37</v>
      </c>
    </row>
    <row r="63" spans="1:3" x14ac:dyDescent="0.2">
      <c r="B63" s="361" t="s">
        <v>168</v>
      </c>
      <c r="C63" s="361">
        <v>3.62</v>
      </c>
    </row>
    <row r="64" spans="1:3" x14ac:dyDescent="0.2">
      <c r="B64" s="361" t="s">
        <v>214</v>
      </c>
      <c r="C64" s="376">
        <v>1.8</v>
      </c>
    </row>
    <row r="65" spans="1:3" x14ac:dyDescent="0.2">
      <c r="B65" s="361" t="s">
        <v>318</v>
      </c>
      <c r="C65" s="361">
        <v>842.79</v>
      </c>
    </row>
    <row r="66" spans="1:3" x14ac:dyDescent="0.2">
      <c r="B66" s="359" t="s">
        <v>169</v>
      </c>
      <c r="C66" s="359">
        <v>0.18</v>
      </c>
    </row>
    <row r="68" spans="1:3" x14ac:dyDescent="0.2">
      <c r="A68" s="378"/>
      <c r="B68" s="378" t="s">
        <v>170</v>
      </c>
      <c r="C68" s="378"/>
    </row>
    <row r="69" spans="1:3" x14ac:dyDescent="0.2">
      <c r="B69" s="377" t="s">
        <v>215</v>
      </c>
      <c r="C69" s="359">
        <v>21.39</v>
      </c>
    </row>
    <row r="70" spans="1:3" x14ac:dyDescent="0.2">
      <c r="B70" s="377" t="s">
        <v>216</v>
      </c>
      <c r="C70" s="359">
        <v>10.68</v>
      </c>
    </row>
    <row r="71" spans="1:3" x14ac:dyDescent="0.2">
      <c r="B71" s="377" t="s">
        <v>217</v>
      </c>
      <c r="C71" s="359">
        <v>7.45</v>
      </c>
    </row>
  </sheetData>
  <mergeCells count="1">
    <mergeCell ref="A1:C1"/>
  </mergeCell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O ARHIGRAMU</vt:lpstr>
      <vt:lpstr>KRATKA NAVODILA</vt:lpstr>
      <vt:lpstr>EUR</vt:lpstr>
      <vt:lpstr>NU</vt:lpstr>
      <vt:lpstr>PODATKI</vt:lpstr>
      <vt:lpstr>IZRAČUN VREDNOST NU</vt:lpstr>
      <vt:lpstr>ARHINST</vt:lpstr>
      <vt:lpstr>DANE</vt:lpstr>
      <vt:lpstr>FAZE</vt:lpstr>
      <vt:lpstr>KONS</vt:lpstr>
      <vt:lpstr>OBJEKT</vt:lpstr>
      <vt:lpstr>OPREMA</vt:lpstr>
      <vt:lpstr>PID</vt:lpstr>
      <vt:lpstr>EUR!Print_Area</vt:lpstr>
      <vt:lpstr>NU!Print_Area</vt:lpstr>
      <vt:lpstr>ZUNANJA</vt:lpstr>
    </vt:vector>
  </TitlesOfParts>
  <Company>Poljanska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Arhigram 3</dc:title>
  <dc:creator>Mima Suhadolc</dc:creator>
  <cp:keywords>CENIK;DAL;ZAPS</cp:keywords>
  <cp:lastModifiedBy>Mima Suhadolc</cp:lastModifiedBy>
  <cp:lastPrinted>2018-10-16T09:29:49Z</cp:lastPrinted>
  <dcterms:created xsi:type="dcterms:W3CDTF">2005-12-03T10:02:57Z</dcterms:created>
  <dcterms:modified xsi:type="dcterms:W3CDTF">2021-10-05T08:16:05Z</dcterms:modified>
</cp:coreProperties>
</file>